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Figure 5" sheetId="3" r:id="rId1"/>
    <sheet name="Figure 14" sheetId="8" r:id="rId2"/>
    <sheet name="Figure 16" sheetId="9" r:id="rId3"/>
    <sheet name="Figure 17" sheetId="10" r:id="rId4"/>
  </sheets>
  <externalReferences>
    <externalReference r:id="rId5"/>
    <externalReference r:id="rId6"/>
    <externalReference r:id="rId7"/>
  </externalReferences>
  <definedNames>
    <definedName name="_______xlnm.Print_Area_2" localSheetId="3">#REF!</definedName>
    <definedName name="_______xlnm.Print_Area_2">#REF!</definedName>
    <definedName name="_______xlnm.Print_Area_6" localSheetId="3">#REF!</definedName>
    <definedName name="_______xlnm.Print_Area_6">#REF!</definedName>
    <definedName name="_______xlnm.Print_Area_7" localSheetId="3">#REF!</definedName>
    <definedName name="_______xlnm.Print_Area_7">#REF!</definedName>
    <definedName name="______xlnm.Print_Area_2" localSheetId="3">#REF!</definedName>
    <definedName name="______xlnm.Print_Area_2">#REF!</definedName>
    <definedName name="______xlnm.Print_Area_3" localSheetId="3">#REF!</definedName>
    <definedName name="______xlnm.Print_Area_3">#REF!</definedName>
    <definedName name="______xlnm.Print_Area_4" localSheetId="3">#REF!</definedName>
    <definedName name="______xlnm.Print_Area_4">#REF!</definedName>
    <definedName name="______xlnm.Print_Area_5">'[1]DS no used'!$AD$14:$AX$69</definedName>
    <definedName name="______xlnm.Print_Area_6" localSheetId="3">#REF!</definedName>
    <definedName name="______xlnm.Print_Area_6">#REF!</definedName>
    <definedName name="______xlnm.Print_Area_7" localSheetId="3">#REF!</definedName>
    <definedName name="______xlnm.Print_Area_7">#REF!</definedName>
    <definedName name="_____xlnm.Print_Area_1">'[1]Overturning no used'!$AF$4:$AZ$64</definedName>
    <definedName name="_____xlnm.Print_Area_2" localSheetId="3">#REF!</definedName>
    <definedName name="_____xlnm.Print_Area_2">#REF!</definedName>
    <definedName name="_____xlnm.Print_Area_3" localSheetId="3">#REF!</definedName>
    <definedName name="_____xlnm.Print_Area_3">#REF!</definedName>
    <definedName name="_____xlnm.Print_Area_4" localSheetId="3">#REF!</definedName>
    <definedName name="_____xlnm.Print_Area_4">#REF!</definedName>
    <definedName name="_____xlnm.Print_Area_6" localSheetId="3">#REF!</definedName>
    <definedName name="_____xlnm.Print_Area_6">#REF!</definedName>
    <definedName name="_____xlnm.Print_Area_7" localSheetId="3">#REF!</definedName>
    <definedName name="_____xlnm.Print_Area_7">#REF!</definedName>
    <definedName name="____xlnm.Print_Area_1">'[2]Overturning no used'!$AF$4:$AZ$64</definedName>
    <definedName name="____xlnm.Print_Area_2" localSheetId="3">#REF!</definedName>
    <definedName name="____xlnm.Print_Area_2">#REF!</definedName>
    <definedName name="____xlnm.Print_Area_3" localSheetId="3">#REF!</definedName>
    <definedName name="____xlnm.Print_Area_3">#REF!</definedName>
    <definedName name="____xlnm.Print_Area_4" localSheetId="3">#REF!</definedName>
    <definedName name="____xlnm.Print_Area_4">#REF!</definedName>
    <definedName name="____xlnm.Print_Area_5">'[2]DS no used'!$AD$14:$AX$69</definedName>
    <definedName name="____xlnm.Print_Area_6" localSheetId="3">#REF!</definedName>
    <definedName name="____xlnm.Print_Area_6">#REF!</definedName>
    <definedName name="____xlnm.Print_Area_7" localSheetId="3">#REF!</definedName>
    <definedName name="____xlnm.Print_Area_7">#REF!</definedName>
    <definedName name="___xlnm.Print_Area_2" localSheetId="3">#REF!</definedName>
    <definedName name="___xlnm.Print_Area_2">#REF!</definedName>
    <definedName name="___xlnm.Print_Area_3" localSheetId="3">#REF!</definedName>
    <definedName name="___xlnm.Print_Area_3">#REF!</definedName>
    <definedName name="___xlnm.Print_Area_4" localSheetId="3">#REF!</definedName>
    <definedName name="___xlnm.Print_Area_4">#REF!</definedName>
    <definedName name="___xlnm.Print_Area_6" localSheetId="3">#REF!</definedName>
    <definedName name="___xlnm.Print_Area_6">#REF!</definedName>
    <definedName name="___xlnm.Print_Area_7" localSheetId="3">#REF!</definedName>
    <definedName name="___xlnm.Print_Area_7">#REF!</definedName>
    <definedName name="__xlnm.Print_Area_1">'[1]Overturning no used'!$AF$4:$AZ$64</definedName>
    <definedName name="__xlnm.Print_Area_2" localSheetId="3">#REF!</definedName>
    <definedName name="__xlnm.Print_Area_2">#REF!</definedName>
    <definedName name="__xlnm.Print_Area_3" localSheetId="3">#REF!</definedName>
    <definedName name="__xlnm.Print_Area_3">#REF!</definedName>
    <definedName name="__xlnm.Print_Area_4" localSheetId="3">#REF!</definedName>
    <definedName name="__xlnm.Print_Area_4">#REF!</definedName>
    <definedName name="__xlnm.Print_Area_5">'[1]DS no used'!$AD$14:$AX$69</definedName>
    <definedName name="__xlnm.Print_Area_6" localSheetId="3">#REF!</definedName>
    <definedName name="__xlnm.Print_Area_6">#REF!</definedName>
    <definedName name="__xlnm.Print_Area_7" localSheetId="3">#REF!</definedName>
    <definedName name="__xlnm.Print_Area_7">#REF!</definedName>
    <definedName name="ggg">#REF!</definedName>
    <definedName name="_xlnm.Print_Area" localSheetId="3">'Figure 17'!$W$6:$AI$48</definedName>
    <definedName name="_xlnm.Print_Area" localSheetId="0">'Figure 5'!$AJ$12:$AU$39</definedName>
  </definedNames>
  <calcPr calcId="144525"/>
</workbook>
</file>

<file path=xl/calcChain.xml><?xml version="1.0" encoding="utf-8"?>
<calcChain xmlns="http://schemas.openxmlformats.org/spreadsheetml/2006/main">
  <c r="L140" i="10" l="1"/>
  <c r="C140" i="10" l="1"/>
  <c r="F413" i="10"/>
  <c r="C413" i="10"/>
  <c r="C276" i="10"/>
  <c r="I140" i="10" l="1"/>
  <c r="F140" i="10"/>
  <c r="I10" i="10"/>
  <c r="F10" i="10"/>
  <c r="C10" i="10"/>
  <c r="D243" i="9" l="1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H815" i="8" l="1"/>
  <c r="H814" i="8"/>
  <c r="H813" i="8"/>
  <c r="H812" i="8"/>
  <c r="H811" i="8"/>
  <c r="H810" i="8"/>
  <c r="H809" i="8"/>
  <c r="H808" i="8"/>
  <c r="H807" i="8"/>
  <c r="H806" i="8"/>
  <c r="H805" i="8"/>
  <c r="H804" i="8"/>
  <c r="K773" i="8"/>
  <c r="K772" i="8"/>
  <c r="K771" i="8"/>
  <c r="K770" i="8"/>
  <c r="K769" i="8"/>
  <c r="K768" i="8"/>
  <c r="K767" i="8"/>
  <c r="K766" i="8"/>
  <c r="K765" i="8"/>
  <c r="K764" i="8"/>
  <c r="K763" i="8"/>
  <c r="K762" i="8"/>
  <c r="K761" i="8"/>
  <c r="K760" i="8"/>
  <c r="K759" i="8"/>
  <c r="K758" i="8"/>
  <c r="K757" i="8"/>
  <c r="K756" i="8"/>
  <c r="K755" i="8"/>
  <c r="K754" i="8"/>
  <c r="K753" i="8"/>
  <c r="K752" i="8"/>
  <c r="K751" i="8"/>
  <c r="K750" i="8"/>
  <c r="K749" i="8"/>
  <c r="K748" i="8"/>
  <c r="K747" i="8"/>
  <c r="K746" i="8"/>
  <c r="K745" i="8"/>
  <c r="K744" i="8"/>
  <c r="K743" i="8"/>
  <c r="K742" i="8"/>
  <c r="K741" i="8"/>
  <c r="K740" i="8"/>
  <c r="K739" i="8"/>
  <c r="K738" i="8"/>
  <c r="K737" i="8"/>
  <c r="K736" i="8"/>
  <c r="K735" i="8"/>
  <c r="K734" i="8"/>
  <c r="K733" i="8"/>
  <c r="K732" i="8"/>
  <c r="K731" i="8"/>
  <c r="K730" i="8"/>
  <c r="K729" i="8"/>
  <c r="K728" i="8"/>
  <c r="K727" i="8"/>
  <c r="K726" i="8"/>
  <c r="K725" i="8"/>
  <c r="K724" i="8"/>
  <c r="K723" i="8"/>
  <c r="K722" i="8"/>
  <c r="K721" i="8"/>
  <c r="K720" i="8"/>
  <c r="K719" i="8"/>
  <c r="K718" i="8"/>
  <c r="K717" i="8"/>
  <c r="K716" i="8"/>
  <c r="K715" i="8"/>
  <c r="K714" i="8"/>
  <c r="K713" i="8"/>
  <c r="K712" i="8"/>
  <c r="K711" i="8"/>
  <c r="K710" i="8"/>
  <c r="K709" i="8"/>
  <c r="K708" i="8"/>
  <c r="K707" i="8"/>
  <c r="K706" i="8"/>
  <c r="K705" i="8"/>
  <c r="K704" i="8"/>
  <c r="K703" i="8"/>
  <c r="K702" i="8"/>
  <c r="K701" i="8"/>
  <c r="K700" i="8"/>
  <c r="K699" i="8"/>
  <c r="K698" i="8"/>
  <c r="K697" i="8"/>
  <c r="K696" i="8"/>
  <c r="K695" i="8"/>
  <c r="K694" i="8"/>
  <c r="K693" i="8"/>
  <c r="K692" i="8"/>
  <c r="K691" i="8"/>
  <c r="K690" i="8"/>
  <c r="K689" i="8"/>
  <c r="K688" i="8"/>
  <c r="K687" i="8"/>
  <c r="K686" i="8"/>
  <c r="K685" i="8"/>
  <c r="K684" i="8"/>
  <c r="K683" i="8"/>
  <c r="K682" i="8"/>
  <c r="K681" i="8"/>
  <c r="K680" i="8"/>
  <c r="K679" i="8"/>
  <c r="K678" i="8"/>
  <c r="K677" i="8"/>
  <c r="K676" i="8"/>
  <c r="K675" i="8"/>
  <c r="K674" i="8"/>
  <c r="K673" i="8"/>
  <c r="K672" i="8"/>
  <c r="K671" i="8"/>
  <c r="K670" i="8"/>
  <c r="K669" i="8"/>
  <c r="K668" i="8"/>
  <c r="K667" i="8"/>
  <c r="K666" i="8"/>
  <c r="K665" i="8"/>
  <c r="K664" i="8"/>
  <c r="K663" i="8"/>
  <c r="K662" i="8"/>
  <c r="K661" i="8"/>
  <c r="K660" i="8"/>
  <c r="K659" i="8"/>
  <c r="K658" i="8"/>
  <c r="K657" i="8"/>
  <c r="K656" i="8"/>
  <c r="K655" i="8"/>
  <c r="K654" i="8"/>
  <c r="K653" i="8"/>
  <c r="K652" i="8"/>
  <c r="K651" i="8"/>
  <c r="K650" i="8"/>
  <c r="K649" i="8"/>
  <c r="K648" i="8"/>
  <c r="K647" i="8"/>
  <c r="K646" i="8"/>
  <c r="K645" i="8"/>
  <c r="K644" i="8"/>
  <c r="K643" i="8"/>
  <c r="K642" i="8"/>
  <c r="K641" i="8"/>
  <c r="K640" i="8"/>
  <c r="K639" i="8"/>
  <c r="K638" i="8"/>
  <c r="K637" i="8"/>
  <c r="K636" i="8"/>
  <c r="K635" i="8"/>
  <c r="K634" i="8"/>
  <c r="K633" i="8"/>
  <c r="K632" i="8"/>
  <c r="K631" i="8"/>
  <c r="K630" i="8"/>
  <c r="K629" i="8"/>
  <c r="K628" i="8"/>
  <c r="K627" i="8"/>
  <c r="K626" i="8"/>
  <c r="K625" i="8"/>
  <c r="K624" i="8"/>
  <c r="K623" i="8"/>
  <c r="K622" i="8"/>
  <c r="K621" i="8"/>
  <c r="K620" i="8"/>
  <c r="K619" i="8"/>
  <c r="K618" i="8"/>
  <c r="K617" i="8"/>
  <c r="K616" i="8"/>
  <c r="K615" i="8"/>
  <c r="K614" i="8"/>
  <c r="K613" i="8"/>
  <c r="K612" i="8"/>
  <c r="K611" i="8"/>
  <c r="K610" i="8"/>
  <c r="K609" i="8"/>
  <c r="K608" i="8"/>
  <c r="K607" i="8"/>
  <c r="K606" i="8"/>
  <c r="K605" i="8"/>
  <c r="K604" i="8"/>
  <c r="K603" i="8"/>
  <c r="K602" i="8"/>
  <c r="K601" i="8"/>
  <c r="K600" i="8"/>
  <c r="K599" i="8"/>
  <c r="K598" i="8"/>
  <c r="K597" i="8"/>
  <c r="K596" i="8"/>
  <c r="K595" i="8"/>
  <c r="K594" i="8"/>
  <c r="K593" i="8"/>
  <c r="K592" i="8"/>
  <c r="K591" i="8"/>
  <c r="K590" i="8"/>
  <c r="K589" i="8"/>
  <c r="K588" i="8"/>
  <c r="K587" i="8"/>
  <c r="K586" i="8"/>
  <c r="K585" i="8"/>
  <c r="K584" i="8"/>
  <c r="K583" i="8"/>
  <c r="K582" i="8"/>
  <c r="K581" i="8"/>
  <c r="K580" i="8"/>
  <c r="K579" i="8"/>
  <c r="K578" i="8"/>
  <c r="K577" i="8"/>
  <c r="K576" i="8"/>
  <c r="K575" i="8"/>
  <c r="K574" i="8"/>
  <c r="K573" i="8"/>
  <c r="K572" i="8"/>
  <c r="K571" i="8"/>
  <c r="K570" i="8"/>
  <c r="K569" i="8"/>
  <c r="K568" i="8"/>
  <c r="K567" i="8"/>
  <c r="K566" i="8"/>
  <c r="K565" i="8"/>
  <c r="K564" i="8"/>
  <c r="K563" i="8"/>
  <c r="K562" i="8"/>
  <c r="K561" i="8"/>
  <c r="K560" i="8"/>
  <c r="K559" i="8"/>
  <c r="B559" i="8"/>
  <c r="K558" i="8"/>
  <c r="B558" i="8"/>
  <c r="K557" i="8"/>
  <c r="B557" i="8"/>
  <c r="K556" i="8"/>
  <c r="B556" i="8"/>
  <c r="K555" i="8"/>
  <c r="B555" i="8"/>
  <c r="K554" i="8"/>
  <c r="B554" i="8"/>
  <c r="K553" i="8"/>
  <c r="B553" i="8"/>
  <c r="K552" i="8"/>
  <c r="K551" i="8"/>
  <c r="K550" i="8"/>
  <c r="K549" i="8"/>
  <c r="K548" i="8"/>
  <c r="K547" i="8"/>
  <c r="K546" i="8"/>
  <c r="K545" i="8"/>
  <c r="K544" i="8"/>
  <c r="K543" i="8"/>
  <c r="K542" i="8"/>
  <c r="K541" i="8"/>
  <c r="K540" i="8"/>
  <c r="K539" i="8"/>
  <c r="K538" i="8"/>
  <c r="K537" i="8"/>
  <c r="K536" i="8"/>
  <c r="K535" i="8"/>
  <c r="K534" i="8"/>
  <c r="K533" i="8"/>
  <c r="K532" i="8"/>
  <c r="K531" i="8"/>
  <c r="K530" i="8"/>
  <c r="K529" i="8"/>
  <c r="K528" i="8"/>
  <c r="K527" i="8"/>
  <c r="K526" i="8"/>
  <c r="K525" i="8"/>
  <c r="K524" i="8"/>
  <c r="K523" i="8"/>
  <c r="K522" i="8"/>
  <c r="K521" i="8"/>
  <c r="K520" i="8"/>
  <c r="K519" i="8"/>
  <c r="K518" i="8"/>
  <c r="K517" i="8"/>
  <c r="K516" i="8"/>
  <c r="K515" i="8"/>
  <c r="K514" i="8"/>
  <c r="K513" i="8"/>
  <c r="K512" i="8"/>
  <c r="K511" i="8"/>
  <c r="K510" i="8"/>
  <c r="K509" i="8"/>
  <c r="K508" i="8"/>
  <c r="K507" i="8"/>
  <c r="K506" i="8"/>
  <c r="K505" i="8"/>
  <c r="K504" i="8"/>
  <c r="K503" i="8"/>
  <c r="K502" i="8"/>
  <c r="K501" i="8"/>
  <c r="K500" i="8"/>
  <c r="K499" i="8"/>
  <c r="K498" i="8"/>
  <c r="K497" i="8"/>
  <c r="K496" i="8"/>
  <c r="K495" i="8"/>
  <c r="K494" i="8"/>
  <c r="K493" i="8"/>
  <c r="K492" i="8"/>
  <c r="K491" i="8"/>
  <c r="K490" i="8"/>
  <c r="K489" i="8"/>
  <c r="K488" i="8"/>
  <c r="K487" i="8"/>
  <c r="K486" i="8"/>
  <c r="K485" i="8"/>
  <c r="K484" i="8"/>
  <c r="K483" i="8"/>
  <c r="K482" i="8"/>
  <c r="K481" i="8"/>
  <c r="K480" i="8"/>
  <c r="K479" i="8"/>
  <c r="K478" i="8"/>
  <c r="K477" i="8"/>
  <c r="K476" i="8"/>
  <c r="K475" i="8"/>
  <c r="K474" i="8"/>
  <c r="K473" i="8"/>
  <c r="K472" i="8"/>
  <c r="K471" i="8"/>
  <c r="K470" i="8"/>
  <c r="K469" i="8"/>
  <c r="K468" i="8"/>
  <c r="K467" i="8"/>
  <c r="K466" i="8"/>
  <c r="K465" i="8"/>
  <c r="K464" i="8"/>
  <c r="K463" i="8"/>
  <c r="K462" i="8"/>
  <c r="K461" i="8"/>
  <c r="K460" i="8"/>
  <c r="K459" i="8"/>
  <c r="K458" i="8"/>
  <c r="K457" i="8"/>
  <c r="K456" i="8"/>
  <c r="K455" i="8"/>
  <c r="K454" i="8"/>
  <c r="K453" i="8"/>
  <c r="K452" i="8"/>
  <c r="K451" i="8"/>
  <c r="K450" i="8"/>
  <c r="K449" i="8"/>
  <c r="K448" i="8"/>
  <c r="K447" i="8"/>
  <c r="K446" i="8"/>
  <c r="K445" i="8"/>
  <c r="K444" i="8"/>
  <c r="K443" i="8"/>
  <c r="K442" i="8"/>
  <c r="K441" i="8"/>
  <c r="K440" i="8"/>
  <c r="K439" i="8"/>
  <c r="K438" i="8"/>
  <c r="K437" i="8"/>
  <c r="K436" i="8"/>
  <c r="K435" i="8"/>
  <c r="K434" i="8"/>
  <c r="K433" i="8"/>
  <c r="K432" i="8"/>
  <c r="K431" i="8"/>
  <c r="K430" i="8"/>
  <c r="K429" i="8"/>
  <c r="K428" i="8"/>
  <c r="K427" i="8"/>
  <c r="K426" i="8"/>
  <c r="K425" i="8"/>
  <c r="K424" i="8"/>
  <c r="K423" i="8"/>
  <c r="K422" i="8"/>
  <c r="K421" i="8"/>
  <c r="K420" i="8"/>
  <c r="K419" i="8"/>
  <c r="K418" i="8"/>
  <c r="K417" i="8"/>
  <c r="K416" i="8"/>
  <c r="K415" i="8"/>
  <c r="K414" i="8"/>
  <c r="K413" i="8"/>
  <c r="K412" i="8"/>
  <c r="K411" i="8"/>
  <c r="K410" i="8"/>
  <c r="K409" i="8"/>
  <c r="K408" i="8"/>
  <c r="K407" i="8"/>
  <c r="K406" i="8"/>
  <c r="K405" i="8"/>
  <c r="K404" i="8"/>
  <c r="K403" i="8"/>
  <c r="K402" i="8"/>
  <c r="K401" i="8"/>
  <c r="K400" i="8"/>
  <c r="K399" i="8"/>
  <c r="K398" i="8"/>
  <c r="K397" i="8"/>
  <c r="K396" i="8"/>
  <c r="K395" i="8"/>
  <c r="K394" i="8"/>
  <c r="K393" i="8"/>
  <c r="K392" i="8"/>
  <c r="K391" i="8"/>
  <c r="K390" i="8"/>
  <c r="K389" i="8"/>
  <c r="K388" i="8"/>
  <c r="K387" i="8"/>
  <c r="K386" i="8"/>
  <c r="K385" i="8"/>
  <c r="K384" i="8"/>
  <c r="K383" i="8"/>
  <c r="K382" i="8"/>
  <c r="K381" i="8"/>
  <c r="K380" i="8"/>
  <c r="K379" i="8"/>
  <c r="K378" i="8"/>
  <c r="K377" i="8"/>
  <c r="K376" i="8"/>
  <c r="H376" i="8"/>
  <c r="K375" i="8"/>
  <c r="H375" i="8"/>
  <c r="K374" i="8"/>
  <c r="H374" i="8"/>
  <c r="K373" i="8"/>
  <c r="H373" i="8"/>
  <c r="K372" i="8"/>
  <c r="H372" i="8"/>
  <c r="K371" i="8"/>
  <c r="K370" i="8"/>
  <c r="K369" i="8"/>
  <c r="K368" i="8"/>
  <c r="K367" i="8"/>
  <c r="K366" i="8"/>
  <c r="K365" i="8"/>
  <c r="K364" i="8"/>
  <c r="K363" i="8"/>
  <c r="K362" i="8"/>
  <c r="K361" i="8"/>
  <c r="K360" i="8"/>
  <c r="K359" i="8"/>
  <c r="K358" i="8"/>
  <c r="K357" i="8"/>
  <c r="K356" i="8"/>
  <c r="K355" i="8"/>
  <c r="K354" i="8"/>
  <c r="K353" i="8"/>
  <c r="K352" i="8"/>
  <c r="K351" i="8"/>
  <c r="K350" i="8"/>
  <c r="K349" i="8"/>
  <c r="K348" i="8"/>
  <c r="K347" i="8"/>
  <c r="K346" i="8"/>
  <c r="K345" i="8"/>
  <c r="K344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AO47" i="8"/>
  <c r="AN47" i="8"/>
  <c r="AI47" i="8"/>
  <c r="K314" i="8"/>
  <c r="K313" i="8"/>
  <c r="AO45" i="8"/>
  <c r="AN45" i="8"/>
  <c r="AI45" i="8"/>
  <c r="AF45" i="8"/>
  <c r="K312" i="8"/>
  <c r="K311" i="8"/>
  <c r="K310" i="8"/>
  <c r="AR42" i="8"/>
  <c r="AO42" i="8"/>
  <c r="AN42" i="8"/>
  <c r="AI42" i="8"/>
  <c r="AF42" i="8"/>
  <c r="K309" i="8"/>
  <c r="AR41" i="8"/>
  <c r="AO41" i="8"/>
  <c r="AN41" i="8"/>
  <c r="AI41" i="8"/>
  <c r="AF41" i="8"/>
  <c r="K308" i="8"/>
  <c r="AR40" i="8"/>
  <c r="AO40" i="8"/>
  <c r="AN40" i="8"/>
  <c r="AI40" i="8"/>
  <c r="AF40" i="8"/>
  <c r="K307" i="8"/>
  <c r="K306" i="8"/>
  <c r="K305" i="8"/>
  <c r="AO37" i="8"/>
  <c r="AN37" i="8"/>
  <c r="AI37" i="8"/>
  <c r="AF37" i="8"/>
  <c r="K304" i="8"/>
  <c r="AO36" i="8"/>
  <c r="AN36" i="8"/>
  <c r="AH36" i="8"/>
  <c r="AI36" i="8" s="1"/>
  <c r="AE36" i="8"/>
  <c r="AF36" i="8" s="1"/>
  <c r="K303" i="8"/>
  <c r="AO35" i="8"/>
  <c r="AN35" i="8"/>
  <c r="AI35" i="8"/>
  <c r="AF35" i="8"/>
  <c r="K302" i="8"/>
  <c r="K301" i="8"/>
  <c r="K300" i="8"/>
  <c r="AR32" i="8"/>
  <c r="AO32" i="8"/>
  <c r="AN32" i="8"/>
  <c r="AI32" i="8"/>
  <c r="AF32" i="8"/>
  <c r="K299" i="8"/>
  <c r="AR31" i="8"/>
  <c r="AO31" i="8"/>
  <c r="AN31" i="8"/>
  <c r="AH31" i="8"/>
  <c r="AI31" i="8" s="1"/>
  <c r="AE31" i="8"/>
  <c r="AF31" i="8" s="1"/>
  <c r="K298" i="8"/>
  <c r="AR30" i="8"/>
  <c r="AO30" i="8"/>
  <c r="AN30" i="8"/>
  <c r="AI30" i="8"/>
  <c r="AF30" i="8"/>
  <c r="K297" i="8"/>
  <c r="K296" i="8"/>
  <c r="K295" i="8"/>
  <c r="AR27" i="8"/>
  <c r="AO27" i="8"/>
  <c r="AN27" i="8"/>
  <c r="AI27" i="8"/>
  <c r="AF27" i="8"/>
  <c r="K294" i="8"/>
  <c r="AR26" i="8"/>
  <c r="AO26" i="8"/>
  <c r="AN26" i="8"/>
  <c r="AH26" i="8"/>
  <c r="AI26" i="8" s="1"/>
  <c r="AE26" i="8"/>
  <c r="AF26" i="8" s="1"/>
  <c r="K293" i="8"/>
  <c r="AR25" i="8"/>
  <c r="AO25" i="8"/>
  <c r="AN25" i="8"/>
  <c r="AI25" i="8"/>
  <c r="AF25" i="8"/>
  <c r="K292" i="8"/>
  <c r="K291" i="8"/>
  <c r="K290" i="8"/>
  <c r="K289" i="8"/>
  <c r="AO21" i="8"/>
  <c r="AN21" i="8"/>
  <c r="AI21" i="8"/>
  <c r="AF21" i="8"/>
  <c r="K288" i="8"/>
  <c r="AR20" i="8"/>
  <c r="AI20" i="8"/>
  <c r="AF20" i="8"/>
  <c r="K287" i="8"/>
  <c r="AR19" i="8"/>
  <c r="AI19" i="8"/>
  <c r="AF19" i="8"/>
  <c r="K286" i="8"/>
  <c r="AR18" i="8"/>
  <c r="AO18" i="8"/>
  <c r="AN18" i="8"/>
  <c r="AI18" i="8"/>
  <c r="AF18" i="8"/>
  <c r="AO17" i="8"/>
  <c r="AI17" i="8"/>
  <c r="AF17" i="8"/>
  <c r="AO16" i="8"/>
  <c r="AI16" i="8"/>
  <c r="AF16" i="8"/>
  <c r="AO15" i="8"/>
  <c r="AI15" i="8"/>
  <c r="AF15" i="8"/>
  <c r="AI14" i="8"/>
  <c r="AF14" i="8"/>
  <c r="I31" i="3" l="1"/>
  <c r="I32" i="3"/>
  <c r="B63" i="3"/>
  <c r="B62" i="3"/>
  <c r="J5" i="3"/>
  <c r="J4" i="3"/>
  <c r="C22" i="3"/>
  <c r="BC21" i="3"/>
  <c r="BE21" i="3" s="1"/>
  <c r="BC17" i="3"/>
  <c r="BE17" i="3" s="1"/>
  <c r="BC16" i="3"/>
  <c r="BE16" i="3" s="1"/>
  <c r="BC13" i="3"/>
  <c r="BE13" i="3" s="1"/>
  <c r="BC12" i="3"/>
  <c r="BE12" i="3" s="1"/>
  <c r="BE18" i="3" l="1"/>
  <c r="BE22" i="3"/>
</calcChain>
</file>

<file path=xl/comments1.xml><?xml version="1.0" encoding="utf-8"?>
<comments xmlns="http://schemas.openxmlformats.org/spreadsheetml/2006/main">
  <authors>
    <author>TCL</author>
    <author>TTW</author>
  </authors>
  <commentList>
    <comment ref="E40" authorId="0">
      <text>
        <r>
          <rPr>
            <b/>
            <sz val="12"/>
            <color indexed="10"/>
            <rFont val="Tahoma"/>
            <family val="2"/>
          </rPr>
          <t>error reading</t>
        </r>
      </text>
    </comment>
    <comment ref="H521" authorId="1">
      <text>
        <r>
          <rPr>
            <b/>
            <sz val="9"/>
            <color indexed="81"/>
            <rFont val="Tahoma"/>
            <family val="2"/>
          </rPr>
          <t>TTW:</t>
        </r>
        <r>
          <rPr>
            <sz val="9"/>
            <color indexed="81"/>
            <rFont val="Tahoma"/>
            <family val="2"/>
          </rPr>
          <t xml:space="preserve">
498mm adjusted to 479mm </t>
        </r>
      </text>
    </comment>
  </commentList>
</comments>
</file>

<file path=xl/sharedStrings.xml><?xml version="1.0" encoding="utf-8"?>
<sst xmlns="http://schemas.openxmlformats.org/spreadsheetml/2006/main" count="315" uniqueCount="144">
  <si>
    <t>BH3A</t>
  </si>
  <si>
    <t>MBH-10</t>
  </si>
  <si>
    <t>Z</t>
  </si>
  <si>
    <t>RL</t>
  </si>
  <si>
    <t>Cu</t>
  </si>
  <si>
    <t>Depth (mRL)</t>
  </si>
  <si>
    <t>inc</t>
  </si>
  <si>
    <t>BH4A</t>
  </si>
  <si>
    <t>MBH-9</t>
  </si>
  <si>
    <t>BH5A</t>
  </si>
  <si>
    <t>BH6A</t>
  </si>
  <si>
    <t>GIBR-LMC</t>
  </si>
  <si>
    <t>MBH-8</t>
  </si>
  <si>
    <t>BH7A</t>
  </si>
  <si>
    <t>BH10B</t>
  </si>
  <si>
    <t>MBH-7</t>
  </si>
  <si>
    <t>BH11B</t>
  </si>
  <si>
    <t>MBH-6</t>
  </si>
  <si>
    <t>MCE/004/VST</t>
  </si>
  <si>
    <t>BH12B</t>
  </si>
  <si>
    <t>MBH-5</t>
  </si>
  <si>
    <t>MCE/005/VST</t>
  </si>
  <si>
    <t>BH13B</t>
  </si>
  <si>
    <t>BH14B</t>
  </si>
  <si>
    <t>MBH-4</t>
  </si>
  <si>
    <t>MBH-3</t>
  </si>
  <si>
    <t>MBH-2</t>
  </si>
  <si>
    <t>MBH-1</t>
  </si>
  <si>
    <t>ABH-1</t>
  </si>
  <si>
    <t>ABH-2</t>
  </si>
  <si>
    <t>ABH-3</t>
  </si>
  <si>
    <t>ABH-4</t>
  </si>
  <si>
    <t>BH. description</t>
  </si>
  <si>
    <t>Design shear strength for UMC</t>
  </si>
  <si>
    <t>Design shear strength for LMC</t>
  </si>
  <si>
    <t>(a) Upper Marine Clay</t>
  </si>
  <si>
    <t/>
  </si>
  <si>
    <t>(b) Lower Marine Clay</t>
  </si>
  <si>
    <t>Date</t>
  </si>
  <si>
    <t>Box 1</t>
  </si>
  <si>
    <t>Box 44</t>
  </si>
  <si>
    <t>Box 5</t>
  </si>
  <si>
    <t>Box 7</t>
  </si>
  <si>
    <t>Box 19</t>
  </si>
  <si>
    <t>Box 23</t>
  </si>
  <si>
    <t xml:space="preserve">IW0103 </t>
  </si>
  <si>
    <t xml:space="preserve">IW4412 </t>
  </si>
  <si>
    <t xml:space="preserve">IW0503 </t>
  </si>
  <si>
    <t xml:space="preserve">IW0714 </t>
  </si>
  <si>
    <t>IW1903</t>
  </si>
  <si>
    <t>IW1916</t>
  </si>
  <si>
    <t xml:space="preserve">IW2321 </t>
  </si>
  <si>
    <t>Calculated deflection</t>
  </si>
  <si>
    <t>(mm)</t>
  </si>
  <si>
    <t>X</t>
  </si>
  <si>
    <t>Y</t>
  </si>
  <si>
    <t>Construction works</t>
  </si>
  <si>
    <t>From</t>
  </si>
  <si>
    <t>To</t>
  </si>
  <si>
    <t>Reclamation works</t>
  </si>
  <si>
    <t>Individual completion</t>
  </si>
  <si>
    <t>Overall-Completion of all construction works</t>
  </si>
  <si>
    <t>Method A:</t>
  </si>
  <si>
    <t>A1</t>
  </si>
  <si>
    <t>A2</t>
  </si>
  <si>
    <t>Method B</t>
  </si>
  <si>
    <t>No construction for one month</t>
  </si>
  <si>
    <t>Method C:</t>
  </si>
  <si>
    <t>Pond C</t>
  </si>
  <si>
    <t>Pond B</t>
  </si>
  <si>
    <t>Pond A</t>
  </si>
  <si>
    <t>PVD+DSM+Bored piling</t>
  </si>
  <si>
    <t>Scheme 1B (Box 1/41 to 10/50)</t>
  </si>
  <si>
    <t>1B(1)-Completion of all construction works</t>
  </si>
  <si>
    <t>1B(1)-DSM</t>
  </si>
  <si>
    <t>1B(1)-PVD</t>
  </si>
  <si>
    <t>1B(1)-Bored piling within 30m</t>
  </si>
  <si>
    <t>Scheme 1B (Box 11/51 to 22/62)</t>
  </si>
  <si>
    <t>1B(2)-Completion of all construction works</t>
  </si>
  <si>
    <t>1B(2)-DSM</t>
  </si>
  <si>
    <t>1B(2)-PVD</t>
  </si>
  <si>
    <t>1B(2)-Bored piling within 30m</t>
  </si>
  <si>
    <t>Scheme 1A</t>
  </si>
  <si>
    <t>1A-Completion of all construction works</t>
  </si>
  <si>
    <t>1A-DSM</t>
  </si>
  <si>
    <t>1A-PVD</t>
  </si>
  <si>
    <t>1A-Bored piling within 30m</t>
  </si>
  <si>
    <t>Scheme 1C</t>
  </si>
  <si>
    <t>1C-Completion of all construction works</t>
  </si>
  <si>
    <t>1C-DSM</t>
  </si>
  <si>
    <t>1C-PVD</t>
  </si>
  <si>
    <t>1C-Bored piling within 30m</t>
  </si>
  <si>
    <t>Moving lands (270days)</t>
  </si>
  <si>
    <t xml:space="preserve">Final </t>
  </si>
  <si>
    <t xml:space="preserve">Section 2 - horizontal lines </t>
  </si>
  <si>
    <t>Method A1</t>
  </si>
  <si>
    <t>Method A2</t>
  </si>
  <si>
    <t>Method B:</t>
  </si>
  <si>
    <t>Bored piling + DSM</t>
  </si>
  <si>
    <t>270 days : moving forward</t>
  </si>
  <si>
    <t>No registered movement</t>
  </si>
  <si>
    <t xml:space="preserve">Section 3 - horizontal lines </t>
  </si>
  <si>
    <t>Date (D/M/Y)</t>
  </si>
  <si>
    <t>Daily reading difference  between morning and deflection at survey point SVP1806 (refer to Figure 13)</t>
  </si>
  <si>
    <t xml:space="preserve">AM - morning reading at ssurvey point 1806 </t>
  </si>
  <si>
    <t xml:space="preserve">PM - evning reading at ssurvey point 1806 </t>
  </si>
  <si>
    <t>cu (kPa)</t>
  </si>
  <si>
    <t>cu = 10+1.5*(z-10); 'z' is measured from RL103.</t>
  </si>
  <si>
    <t>cu = 2.5*(z-10); 'z' is measured from RL103.</t>
  </si>
  <si>
    <t>(a) Deflection of capping beam of seawall for section 2.</t>
  </si>
  <si>
    <t>(b) Deflection of capping beam of seawall for section 3.</t>
  </si>
  <si>
    <t xml:space="preserve">Data for horizontal and vertical lines </t>
  </si>
  <si>
    <t>IW0714</t>
  </si>
  <si>
    <t>IW0103</t>
  </si>
  <si>
    <t>IW4412</t>
  </si>
  <si>
    <t>IW0503</t>
  </si>
  <si>
    <t>IW2321</t>
  </si>
  <si>
    <t>Front beam (Seaside)</t>
  </si>
  <si>
    <t>Back  beam (Landside)</t>
  </si>
  <si>
    <t>Inter.  Beam (Middle)</t>
  </si>
  <si>
    <t>Reading on:</t>
  </si>
  <si>
    <t>Deflection
(mm)</t>
  </si>
  <si>
    <t>Reduced level
(RLm)</t>
  </si>
  <si>
    <t>As-built pipe pile
toe level (RLm) :</t>
  </si>
  <si>
    <t>Inclinometer 
toe level (RLm) :</t>
  </si>
  <si>
    <t>Location :</t>
  </si>
  <si>
    <t>Figure 17. Inclinometer profiles at maximum deflection, seaward and subsequent landward movement.</t>
  </si>
  <si>
    <t>Box 4 - back pile</t>
  </si>
  <si>
    <t>Box 1 - back pile</t>
  </si>
  <si>
    <t>Box 5 - back pile</t>
  </si>
  <si>
    <t>Box 19 - front pile</t>
  </si>
  <si>
    <t>Box 19/59 - intermediate pile</t>
  </si>
  <si>
    <t>Box 7/47 - intermediate pile</t>
  </si>
  <si>
    <t>Box 23 - back pile</t>
  </si>
  <si>
    <t>Section 2 inclinometers</t>
  </si>
  <si>
    <t>Section 3 inclinometers</t>
  </si>
  <si>
    <t>IW1916_16/9/2012</t>
  </si>
  <si>
    <t>IW0714_3/9/2013</t>
  </si>
  <si>
    <t xml:space="preserve">Reading on: </t>
  </si>
  <si>
    <t>Box 7 - front pile</t>
  </si>
  <si>
    <t>Box 19 - intermediate pile</t>
  </si>
  <si>
    <t>Rotating height and strain</t>
  </si>
  <si>
    <t xml:space="preserve">IW0714_Backward movement </t>
  </si>
  <si>
    <t>Seaward and thenlandward 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</si>
</sst>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00"/>
    <numFmt numFmtId="166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0"/>
      <name val="Tahoma"/>
      <family val="2"/>
    </font>
    <font>
      <sz val="10"/>
      <name val="Arial"/>
      <family val="2"/>
      <charset val="161"/>
    </font>
    <font>
      <b/>
      <i/>
      <sz val="10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u/>
      <sz val="10"/>
      <color theme="1"/>
      <name val="Arial"/>
      <family val="2"/>
      <charset val="161"/>
    </font>
    <font>
      <sz val="10"/>
      <color rgb="FF0066FF"/>
      <name val="Arial"/>
      <family val="2"/>
      <charset val="161"/>
    </font>
    <font>
      <i/>
      <sz val="10"/>
      <color rgb="FF0000FF"/>
      <name val="Arial"/>
      <family val="2"/>
      <charset val="161"/>
    </font>
    <font>
      <u/>
      <sz val="10"/>
      <color theme="1"/>
      <name val="Arial"/>
      <family val="2"/>
      <charset val="161"/>
    </font>
    <font>
      <i/>
      <sz val="10"/>
      <color theme="1"/>
      <name val="Arial"/>
      <family val="2"/>
      <charset val="161"/>
    </font>
    <font>
      <sz val="10"/>
      <color rgb="FF0000FF"/>
      <name val="Arial"/>
      <family val="2"/>
      <charset val="161"/>
    </font>
    <font>
      <sz val="10"/>
      <color rgb="FFFF00FF"/>
      <name val="Arial"/>
      <family val="2"/>
      <charset val="161"/>
    </font>
    <font>
      <b/>
      <sz val="10"/>
      <color rgb="FFFF0000"/>
      <name val="Arial"/>
      <family val="2"/>
      <charset val="161"/>
    </font>
    <font>
      <i/>
      <sz val="10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4" fillId="0" borderId="0"/>
  </cellStyleXfs>
  <cellXfs count="67">
    <xf numFmtId="0" fontId="0" fillId="0" borderId="0" xfId="0"/>
    <xf numFmtId="0" fontId="8" fillId="0" borderId="0" xfId="8" applyFont="1"/>
    <xf numFmtId="0" fontId="9" fillId="0" borderId="0" xfId="8" applyFont="1"/>
    <xf numFmtId="0" fontId="10" fillId="0" borderId="0" xfId="0" applyFont="1"/>
    <xf numFmtId="0" fontId="8" fillId="0" borderId="0" xfId="8" applyFont="1" applyAlignment="1">
      <alignment horizontal="left"/>
    </xf>
    <xf numFmtId="0" fontId="8" fillId="0" borderId="0" xfId="8" applyFont="1" applyAlignment="1"/>
    <xf numFmtId="0" fontId="8" fillId="0" borderId="0" xfId="8" applyFont="1" applyAlignment="1">
      <alignment horizontal="center"/>
    </xf>
    <xf numFmtId="0" fontId="11" fillId="0" borderId="0" xfId="8" applyFont="1" applyAlignment="1"/>
    <xf numFmtId="0" fontId="11" fillId="0" borderId="0" xfId="8" applyFont="1" applyAlignment="1">
      <alignment horizontal="center"/>
    </xf>
    <xf numFmtId="0" fontId="8" fillId="0" borderId="0" xfId="8" quotePrefix="1" applyFont="1"/>
    <xf numFmtId="0" fontId="11" fillId="0" borderId="0" xfId="8" applyFont="1" applyAlignment="1">
      <alignment horizontal="left"/>
    </xf>
    <xf numFmtId="0" fontId="9" fillId="0" borderId="0" xfId="0" applyFont="1" applyFill="1" applyBorder="1"/>
    <xf numFmtId="1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/>
    <xf numFmtId="15" fontId="10" fillId="0" borderId="0" xfId="0" applyNumberFormat="1" applyFont="1" applyFill="1" applyBorder="1"/>
    <xf numFmtId="14" fontId="10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left"/>
    </xf>
    <xf numFmtId="15" fontId="10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15" fontId="12" fillId="0" borderId="0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14" fontId="14" fillId="0" borderId="0" xfId="0" applyNumberFormat="1" applyFont="1"/>
    <xf numFmtId="14" fontId="10" fillId="0" borderId="0" xfId="0" applyNumberFormat="1" applyFont="1"/>
    <xf numFmtId="0" fontId="15" fillId="0" borderId="0" xfId="0" applyFont="1" applyFill="1" applyBorder="1"/>
    <xf numFmtId="0" fontId="16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horizontal="left" vertical="center"/>
    </xf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1" fontId="10" fillId="0" borderId="0" xfId="0" applyNumberFormat="1" applyFont="1" applyFill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5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5" fontId="10" fillId="0" borderId="0" xfId="0" applyNumberFormat="1" applyFont="1"/>
    <xf numFmtId="0" fontId="17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0" fillId="0" borderId="0" xfId="0" applyFont="1" applyAlignment="1">
      <alignment horizontal="center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9">
    <cellStyle name="Comma 2" xfId="1"/>
    <cellStyle name="Excel Built-in Normal" xfId="2"/>
    <cellStyle name="Excel Built-in Normal 2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</cellStyles>
  <dxfs count="0"/>
  <tableStyles count="0" defaultTableStyle="TableStyleMedium2" defaultPivotStyle="PivotStyleLight16"/>
  <colors>
    <mruColors>
      <color rgb="FF0000FF"/>
      <color rgb="FF0066FF"/>
      <color rgb="FF000000"/>
      <color rgb="FFFF00FF"/>
      <color rgb="FFFF80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SG" b="0"/>
              <a:t>Undrained Shear Strength (UMC) </a:t>
            </a:r>
          </a:p>
        </c:rich>
      </c:tx>
      <c:layout>
        <c:manualLayout>
          <c:xMode val="edge"/>
          <c:yMode val="edge"/>
          <c:x val="9.7567626831456186E-2"/>
          <c:y val="5.02698032311178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8358308788153"/>
          <c:y val="9.6687186828919108E-2"/>
          <c:w val="0.45329499982397881"/>
          <c:h val="0.73507766534238828"/>
        </c:manualLayout>
      </c:layout>
      <c:scatterChart>
        <c:scatterStyle val="lineMarker"/>
        <c:varyColors val="0"/>
        <c:ser>
          <c:idx val="10"/>
          <c:order val="0"/>
          <c:tx>
            <c:v>BH3A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5'!$B$4</c:f>
              <c:numCache>
                <c:formatCode>General</c:formatCode>
                <c:ptCount val="1"/>
                <c:pt idx="0">
                  <c:v>18.79</c:v>
                </c:pt>
              </c:numCache>
            </c:numRef>
          </c:xVal>
          <c:yVal>
            <c:numRef>
              <c:f>'Figure 5'!$C$4</c:f>
              <c:numCache>
                <c:formatCode>General</c:formatCode>
                <c:ptCount val="1"/>
                <c:pt idx="0">
                  <c:v>91.6</c:v>
                </c:pt>
              </c:numCache>
            </c:numRef>
          </c:yVal>
          <c:smooth val="0"/>
        </c:ser>
        <c:ser>
          <c:idx val="11"/>
          <c:order val="1"/>
          <c:tx>
            <c:v>BH4A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5'!$B$5:$B$6</c:f>
              <c:numCache>
                <c:formatCode>General</c:formatCode>
                <c:ptCount val="2"/>
                <c:pt idx="0">
                  <c:v>15.76</c:v>
                </c:pt>
                <c:pt idx="1">
                  <c:v>16.059999999999999</c:v>
                </c:pt>
              </c:numCache>
            </c:numRef>
          </c:xVal>
          <c:yVal>
            <c:numRef>
              <c:f>'Figure 5'!$C$5:$C$6</c:f>
              <c:numCache>
                <c:formatCode>General</c:formatCode>
                <c:ptCount val="2"/>
                <c:pt idx="0">
                  <c:v>92.1</c:v>
                </c:pt>
                <c:pt idx="1">
                  <c:v>89.1</c:v>
                </c:pt>
              </c:numCache>
            </c:numRef>
          </c:yVal>
          <c:smooth val="0"/>
        </c:ser>
        <c:ser>
          <c:idx val="12"/>
          <c:order val="2"/>
          <c:tx>
            <c:v>BH5A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5'!$B$7</c:f>
              <c:numCache>
                <c:formatCode>General</c:formatCode>
                <c:ptCount val="1"/>
                <c:pt idx="0">
                  <c:v>16.97</c:v>
                </c:pt>
              </c:numCache>
            </c:numRef>
          </c:xVal>
          <c:yVal>
            <c:numRef>
              <c:f>'Figure 5'!$C$7</c:f>
              <c:numCache>
                <c:formatCode>General</c:formatCode>
                <c:ptCount val="1"/>
                <c:pt idx="0">
                  <c:v>91.6</c:v>
                </c:pt>
              </c:numCache>
            </c:numRef>
          </c:yVal>
          <c:smooth val="0"/>
        </c:ser>
        <c:ser>
          <c:idx val="13"/>
          <c:order val="3"/>
          <c:tx>
            <c:v>BH6A</c:v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5'!$B$8</c:f>
              <c:numCache>
                <c:formatCode>General</c:formatCode>
                <c:ptCount val="1"/>
                <c:pt idx="0">
                  <c:v>17.57</c:v>
                </c:pt>
              </c:numCache>
            </c:numRef>
          </c:xVal>
          <c:yVal>
            <c:numRef>
              <c:f>'Figure 5'!$C$8</c:f>
              <c:numCache>
                <c:formatCode>General</c:formatCode>
                <c:ptCount val="1"/>
                <c:pt idx="0">
                  <c:v>91.6</c:v>
                </c:pt>
              </c:numCache>
            </c:numRef>
          </c:yVal>
          <c:smooth val="0"/>
        </c:ser>
        <c:ser>
          <c:idx val="14"/>
          <c:order val="4"/>
          <c:tx>
            <c:v>BH10B</c:v>
          </c:tx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5'!$B$10:$B$11</c:f>
              <c:numCache>
                <c:formatCode>General</c:formatCode>
                <c:ptCount val="2"/>
                <c:pt idx="0">
                  <c:v>17.57</c:v>
                </c:pt>
                <c:pt idx="1">
                  <c:v>29.69</c:v>
                </c:pt>
              </c:numCache>
            </c:numRef>
          </c:xVal>
          <c:yVal>
            <c:numRef>
              <c:f>'Figure 5'!$C$10:$C$11</c:f>
              <c:numCache>
                <c:formatCode>General</c:formatCode>
                <c:ptCount val="2"/>
                <c:pt idx="0">
                  <c:v>90.6</c:v>
                </c:pt>
                <c:pt idx="1">
                  <c:v>87.6</c:v>
                </c:pt>
              </c:numCache>
            </c:numRef>
          </c:yVal>
          <c:smooth val="0"/>
        </c:ser>
        <c:ser>
          <c:idx val="15"/>
          <c:order val="5"/>
          <c:tx>
            <c:v>BH11B</c:v>
          </c:tx>
          <c:spPr>
            <a:ln w="28575">
              <a:noFill/>
            </a:ln>
          </c:spPr>
          <c:marker>
            <c:symbol val="plus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5'!$B$12:$B$13</c:f>
              <c:numCache>
                <c:formatCode>General</c:formatCode>
                <c:ptCount val="2"/>
                <c:pt idx="0">
                  <c:v>14.54</c:v>
                </c:pt>
                <c:pt idx="1">
                  <c:v>19.39</c:v>
                </c:pt>
              </c:numCache>
            </c:numRef>
          </c:xVal>
          <c:yVal>
            <c:numRef>
              <c:f>'Figure 5'!$C$12:$C$13</c:f>
              <c:numCache>
                <c:formatCode>General</c:formatCode>
                <c:ptCount val="2"/>
                <c:pt idx="0">
                  <c:v>91.6</c:v>
                </c:pt>
                <c:pt idx="1">
                  <c:v>89.1</c:v>
                </c:pt>
              </c:numCache>
            </c:numRef>
          </c:yVal>
          <c:smooth val="0"/>
        </c:ser>
        <c:ser>
          <c:idx val="16"/>
          <c:order val="6"/>
          <c:tx>
            <c:v>BH12B</c:v>
          </c:tx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5'!$B$14:$B$15</c:f>
              <c:numCache>
                <c:formatCode>General</c:formatCode>
                <c:ptCount val="2"/>
                <c:pt idx="0">
                  <c:v>13.64</c:v>
                </c:pt>
                <c:pt idx="1">
                  <c:v>24.85</c:v>
                </c:pt>
              </c:numCache>
            </c:numRef>
          </c:xVal>
          <c:yVal>
            <c:numRef>
              <c:f>'Figure 5'!$C$14:$C$15</c:f>
              <c:numCache>
                <c:formatCode>General</c:formatCode>
                <c:ptCount val="2"/>
                <c:pt idx="0">
                  <c:v>91.6</c:v>
                </c:pt>
                <c:pt idx="1">
                  <c:v>89.1</c:v>
                </c:pt>
              </c:numCache>
            </c:numRef>
          </c:yVal>
          <c:smooth val="0"/>
        </c:ser>
        <c:ser>
          <c:idx val="17"/>
          <c:order val="7"/>
          <c:tx>
            <c:v>BH13B</c:v>
          </c:tx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5'!$B$16:$B$18</c:f>
              <c:numCache>
                <c:formatCode>General</c:formatCode>
                <c:ptCount val="3"/>
                <c:pt idx="0">
                  <c:v>17.27</c:v>
                </c:pt>
                <c:pt idx="1">
                  <c:v>19.09</c:v>
                </c:pt>
                <c:pt idx="2">
                  <c:v>21.21</c:v>
                </c:pt>
              </c:numCache>
            </c:numRef>
          </c:xVal>
          <c:yVal>
            <c:numRef>
              <c:f>'Figure 5'!$C$16:$C$18</c:f>
              <c:numCache>
                <c:formatCode>General</c:formatCode>
                <c:ptCount val="3"/>
                <c:pt idx="0">
                  <c:v>91.1</c:v>
                </c:pt>
                <c:pt idx="1">
                  <c:v>88.6</c:v>
                </c:pt>
                <c:pt idx="2">
                  <c:v>85.6</c:v>
                </c:pt>
              </c:numCache>
            </c:numRef>
          </c:yVal>
          <c:smooth val="0"/>
        </c:ser>
        <c:ser>
          <c:idx val="18"/>
          <c:order val="8"/>
          <c:tx>
            <c:v>BH7A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5'!$B$9</c:f>
              <c:numCache>
                <c:formatCode>General</c:formatCode>
                <c:ptCount val="1"/>
                <c:pt idx="0">
                  <c:v>12.73</c:v>
                </c:pt>
              </c:numCache>
            </c:numRef>
          </c:xVal>
          <c:yVal>
            <c:numRef>
              <c:f>'Figure 5'!$C$9</c:f>
              <c:numCache>
                <c:formatCode>General</c:formatCode>
                <c:ptCount val="1"/>
                <c:pt idx="0">
                  <c:v>91.6</c:v>
                </c:pt>
              </c:numCache>
            </c:numRef>
          </c:yVal>
          <c:smooth val="0"/>
        </c:ser>
        <c:ser>
          <c:idx val="19"/>
          <c:order val="9"/>
          <c:tx>
            <c:v>BH14B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'Figure 5'!$B$19:$B$21</c:f>
              <c:numCache>
                <c:formatCode>General</c:formatCode>
                <c:ptCount val="3"/>
                <c:pt idx="0">
                  <c:v>17.27</c:v>
                </c:pt>
                <c:pt idx="1">
                  <c:v>16.36</c:v>
                </c:pt>
                <c:pt idx="2">
                  <c:v>24.24</c:v>
                </c:pt>
              </c:numCache>
            </c:numRef>
          </c:xVal>
          <c:yVal>
            <c:numRef>
              <c:f>'Figure 5'!$C$19:$C$21</c:f>
              <c:numCache>
                <c:formatCode>General</c:formatCode>
                <c:ptCount val="3"/>
                <c:pt idx="0">
                  <c:v>90.1</c:v>
                </c:pt>
                <c:pt idx="1">
                  <c:v>87.1</c:v>
                </c:pt>
                <c:pt idx="2">
                  <c:v>84.1</c:v>
                </c:pt>
              </c:numCache>
            </c:numRef>
          </c:yVal>
          <c:smooth val="0"/>
        </c:ser>
        <c:ser>
          <c:idx val="21"/>
          <c:order val="10"/>
          <c:tx>
            <c:v>MBH10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'Figure 5'!$B$40:$B$41</c:f>
              <c:numCache>
                <c:formatCode>General</c:formatCode>
                <c:ptCount val="2"/>
                <c:pt idx="0">
                  <c:v>34</c:v>
                </c:pt>
                <c:pt idx="1">
                  <c:v>41.08</c:v>
                </c:pt>
              </c:numCache>
            </c:numRef>
          </c:xVal>
          <c:yVal>
            <c:numRef>
              <c:f>'Figure 5'!$C$40:$C$41</c:f>
              <c:numCache>
                <c:formatCode>General</c:formatCode>
                <c:ptCount val="2"/>
                <c:pt idx="0">
                  <c:v>85.85</c:v>
                </c:pt>
                <c:pt idx="1">
                  <c:v>82.85</c:v>
                </c:pt>
              </c:numCache>
            </c:numRef>
          </c:yVal>
          <c:smooth val="0"/>
        </c:ser>
        <c:ser>
          <c:idx val="20"/>
          <c:order val="11"/>
          <c:tx>
            <c:v>MBH9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'Figure 5'!$B$37:$B$39</c:f>
              <c:numCache>
                <c:formatCode>General</c:formatCode>
                <c:ptCount val="3"/>
                <c:pt idx="0">
                  <c:v>22.1</c:v>
                </c:pt>
                <c:pt idx="1">
                  <c:v>20.399999999999999</c:v>
                </c:pt>
                <c:pt idx="2">
                  <c:v>26.06</c:v>
                </c:pt>
              </c:numCache>
            </c:numRef>
          </c:xVal>
          <c:yVal>
            <c:numRef>
              <c:f>'Figure 5'!$C$37:$C$39</c:f>
              <c:numCache>
                <c:formatCode>General</c:formatCode>
                <c:ptCount val="3"/>
                <c:pt idx="0">
                  <c:v>88.05</c:v>
                </c:pt>
                <c:pt idx="1">
                  <c:v>85.05</c:v>
                </c:pt>
                <c:pt idx="2">
                  <c:v>82.55</c:v>
                </c:pt>
              </c:numCache>
            </c:numRef>
          </c:yVal>
          <c:smooth val="0"/>
        </c:ser>
        <c:ser>
          <c:idx val="22"/>
          <c:order val="12"/>
          <c:tx>
            <c:v>MBH8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5'!$B$33:$B$36</c:f>
              <c:numCache>
                <c:formatCode>General</c:formatCode>
                <c:ptCount val="4"/>
                <c:pt idx="0">
                  <c:v>18.13</c:v>
                </c:pt>
                <c:pt idx="1">
                  <c:v>20.68</c:v>
                </c:pt>
                <c:pt idx="2">
                  <c:v>25.78</c:v>
                </c:pt>
                <c:pt idx="3">
                  <c:v>37.4</c:v>
                </c:pt>
              </c:numCache>
            </c:numRef>
          </c:xVal>
          <c:yVal>
            <c:numRef>
              <c:f>'Figure 5'!$C$33:$C$36</c:f>
              <c:numCache>
                <c:formatCode>General</c:formatCode>
                <c:ptCount val="4"/>
                <c:pt idx="0">
                  <c:v>90.25</c:v>
                </c:pt>
                <c:pt idx="1">
                  <c:v>88.05</c:v>
                </c:pt>
                <c:pt idx="2">
                  <c:v>85.05</c:v>
                </c:pt>
                <c:pt idx="3">
                  <c:v>82.05</c:v>
                </c:pt>
              </c:numCache>
            </c:numRef>
          </c:yVal>
          <c:smooth val="0"/>
        </c:ser>
        <c:ser>
          <c:idx val="23"/>
          <c:order val="13"/>
          <c:tx>
            <c:v>MBH7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5'!$B$32</c:f>
              <c:numCache>
                <c:formatCode>General</c:formatCode>
                <c:ptCount val="1"/>
                <c:pt idx="0">
                  <c:v>23.24</c:v>
                </c:pt>
              </c:numCache>
            </c:numRef>
          </c:xVal>
          <c:yVal>
            <c:numRef>
              <c:f>'Figure 5'!$C$32</c:f>
              <c:numCache>
                <c:formatCode>General</c:formatCode>
                <c:ptCount val="1"/>
                <c:pt idx="0">
                  <c:v>87.55</c:v>
                </c:pt>
              </c:numCache>
            </c:numRef>
          </c:yVal>
          <c:smooth val="0"/>
        </c:ser>
        <c:ser>
          <c:idx val="24"/>
          <c:order val="14"/>
          <c:tx>
            <c:v>MBH6</c:v>
          </c:tx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5'!$B$30:$B$31</c:f>
              <c:numCache>
                <c:formatCode>General</c:formatCode>
                <c:ptCount val="2"/>
                <c:pt idx="0">
                  <c:v>17.809999999999999</c:v>
                </c:pt>
                <c:pt idx="1">
                  <c:v>22.9</c:v>
                </c:pt>
              </c:numCache>
            </c:numRef>
          </c:xVal>
          <c:yVal>
            <c:numRef>
              <c:f>'Figure 5'!$C$30:$C$31</c:f>
              <c:numCache>
                <c:formatCode>General</c:formatCode>
                <c:ptCount val="2"/>
                <c:pt idx="0">
                  <c:v>89.05</c:v>
                </c:pt>
                <c:pt idx="1">
                  <c:v>83.05</c:v>
                </c:pt>
              </c:numCache>
            </c:numRef>
          </c:yVal>
          <c:smooth val="0"/>
        </c:ser>
        <c:ser>
          <c:idx val="25"/>
          <c:order val="15"/>
          <c:tx>
            <c:v>MBH5</c:v>
          </c:tx>
          <c:spPr>
            <a:ln w="28575">
              <a:noFill/>
            </a:ln>
          </c:spPr>
          <c:marker>
            <c:symbol val="triang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5'!$B$27:$B$29</c:f>
              <c:numCache>
                <c:formatCode>General</c:formatCode>
                <c:ptCount val="3"/>
                <c:pt idx="0">
                  <c:v>17.239999999999998</c:v>
                </c:pt>
                <c:pt idx="1">
                  <c:v>22.62</c:v>
                </c:pt>
                <c:pt idx="2">
                  <c:v>27.14</c:v>
                </c:pt>
              </c:numCache>
            </c:numRef>
          </c:xVal>
          <c:yVal>
            <c:numRef>
              <c:f>'Figure 5'!$C$27:$C$29</c:f>
              <c:numCache>
                <c:formatCode>General</c:formatCode>
                <c:ptCount val="3"/>
                <c:pt idx="0">
                  <c:v>89.35</c:v>
                </c:pt>
                <c:pt idx="1">
                  <c:v>86.35</c:v>
                </c:pt>
                <c:pt idx="2">
                  <c:v>83.35</c:v>
                </c:pt>
              </c:numCache>
            </c:numRef>
          </c:yVal>
          <c:smooth val="0"/>
        </c:ser>
        <c:ser>
          <c:idx val="5"/>
          <c:order val="16"/>
          <c:tx>
            <c:v>MBH4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'Figure 5'!$B$24:$B$26</c:f>
              <c:numCache>
                <c:formatCode>General</c:formatCode>
                <c:ptCount val="3"/>
                <c:pt idx="0">
                  <c:v>19.79</c:v>
                </c:pt>
                <c:pt idx="1">
                  <c:v>28.55</c:v>
                </c:pt>
                <c:pt idx="2">
                  <c:v>26.86</c:v>
                </c:pt>
              </c:numCache>
            </c:numRef>
          </c:xVal>
          <c:yVal>
            <c:numRef>
              <c:f>'Figure 5'!$C$24:$C$26</c:f>
              <c:numCache>
                <c:formatCode>General</c:formatCode>
                <c:ptCount val="3"/>
                <c:pt idx="0">
                  <c:v>88.15</c:v>
                </c:pt>
                <c:pt idx="1">
                  <c:v>85.15</c:v>
                </c:pt>
                <c:pt idx="2">
                  <c:v>82.15</c:v>
                </c:pt>
              </c:numCache>
            </c:numRef>
          </c:yVal>
          <c:smooth val="0"/>
        </c:ser>
        <c:ser>
          <c:idx val="4"/>
          <c:order val="17"/>
          <c:tx>
            <c:v>MBH3</c:v>
          </c:tx>
          <c:spPr>
            <a:ln w="28575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'Figure 5'!$B$23</c:f>
              <c:numCache>
                <c:formatCode>General</c:formatCode>
                <c:ptCount val="1"/>
                <c:pt idx="0">
                  <c:v>16.28</c:v>
                </c:pt>
              </c:numCache>
            </c:numRef>
          </c:xVal>
          <c:yVal>
            <c:numRef>
              <c:f>'Figure 5'!$C$23</c:f>
              <c:numCache>
                <c:formatCode>General</c:formatCode>
                <c:ptCount val="1"/>
                <c:pt idx="0">
                  <c:v>88.25</c:v>
                </c:pt>
              </c:numCache>
            </c:numRef>
          </c:yVal>
          <c:smooth val="0"/>
        </c:ser>
        <c:ser>
          <c:idx val="1"/>
          <c:order val="18"/>
          <c:tx>
            <c:strRef>
              <c:f>'Figure 5'!$W$101</c:f>
              <c:strCache>
                <c:ptCount val="1"/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'Figure 5'!$B$62:$B$63</c:f>
              <c:numCache>
                <c:formatCode>General</c:formatCode>
                <c:ptCount val="2"/>
                <c:pt idx="0">
                  <c:v>9.25</c:v>
                </c:pt>
                <c:pt idx="1">
                  <c:v>31</c:v>
                </c:pt>
              </c:numCache>
            </c:numRef>
          </c:xVal>
          <c:yVal>
            <c:numRef>
              <c:f>'Figure 5'!$C$62:$C$63</c:f>
              <c:numCache>
                <c:formatCode>General</c:formatCode>
                <c:ptCount val="2"/>
                <c:pt idx="0">
                  <c:v>93.5</c:v>
                </c:pt>
                <c:pt idx="1">
                  <c:v>79</c:v>
                </c:pt>
              </c:numCache>
            </c:numRef>
          </c:yVal>
          <c:smooth val="0"/>
        </c:ser>
        <c:ser>
          <c:idx val="3"/>
          <c:order val="19"/>
          <c:tx>
            <c:v>MBH1</c:v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'Figure 5'!$B$22</c:f>
              <c:numCache>
                <c:formatCode>General</c:formatCode>
                <c:ptCount val="1"/>
                <c:pt idx="0">
                  <c:v>21.17</c:v>
                </c:pt>
              </c:numCache>
            </c:numRef>
          </c:xVal>
          <c:yVal>
            <c:numRef>
              <c:f>'Figure 5'!$C$22</c:f>
              <c:numCache>
                <c:formatCode>General</c:formatCode>
                <c:ptCount val="1"/>
                <c:pt idx="0">
                  <c:v>88.85</c:v>
                </c:pt>
              </c:numCache>
            </c:numRef>
          </c:yVal>
          <c:smooth val="0"/>
        </c:ser>
        <c:ser>
          <c:idx val="2"/>
          <c:order val="20"/>
          <c:tx>
            <c:strRef>
              <c:f>'Figure 5'!$D$59</c:f>
              <c:strCache>
                <c:ptCount val="1"/>
                <c:pt idx="0">
                  <c:v>MCE/004/VST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'Figure 5'!$B$59:$B$61</c:f>
              <c:numCache>
                <c:formatCode>General</c:formatCode>
                <c:ptCount val="3"/>
                <c:pt idx="0">
                  <c:v>17.55</c:v>
                </c:pt>
                <c:pt idx="1">
                  <c:v>20.25</c:v>
                </c:pt>
                <c:pt idx="2">
                  <c:v>22.95</c:v>
                </c:pt>
              </c:numCache>
            </c:numRef>
          </c:xVal>
          <c:yVal>
            <c:numRef>
              <c:f>'Figure 5'!$C$59:$C$61</c:f>
              <c:numCache>
                <c:formatCode>General</c:formatCode>
                <c:ptCount val="3"/>
                <c:pt idx="0">
                  <c:v>89.55</c:v>
                </c:pt>
                <c:pt idx="1">
                  <c:v>87.55</c:v>
                </c:pt>
                <c:pt idx="2">
                  <c:v>85.55</c:v>
                </c:pt>
              </c:numCache>
            </c:numRef>
          </c:yVal>
          <c:smooth val="0"/>
        </c:ser>
        <c:ser>
          <c:idx val="7"/>
          <c:order val="21"/>
          <c:tx>
            <c:strRef>
              <c:f>'Figure 5'!$D$43</c:f>
              <c:strCache>
                <c:ptCount val="1"/>
                <c:pt idx="0">
                  <c:v>ABH-2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5'!$B$43:$B$46</c:f>
              <c:numCache>
                <c:formatCode>General</c:formatCode>
                <c:ptCount val="4"/>
                <c:pt idx="0">
                  <c:v>11.89</c:v>
                </c:pt>
                <c:pt idx="1">
                  <c:v>14.5</c:v>
                </c:pt>
                <c:pt idx="2">
                  <c:v>21.46</c:v>
                </c:pt>
                <c:pt idx="3">
                  <c:v>26.44</c:v>
                </c:pt>
              </c:numCache>
            </c:numRef>
          </c:xVal>
          <c:yVal>
            <c:numRef>
              <c:f>'Figure 5'!$C$43:$C$46</c:f>
              <c:numCache>
                <c:formatCode>General</c:formatCode>
                <c:ptCount val="4"/>
                <c:pt idx="0">
                  <c:v>90.15</c:v>
                </c:pt>
                <c:pt idx="1">
                  <c:v>88.15</c:v>
                </c:pt>
                <c:pt idx="2">
                  <c:v>86.15</c:v>
                </c:pt>
                <c:pt idx="3">
                  <c:v>84.15</c:v>
                </c:pt>
              </c:numCache>
            </c:numRef>
          </c:yVal>
          <c:smooth val="0"/>
        </c:ser>
        <c:ser>
          <c:idx val="0"/>
          <c:order val="22"/>
          <c:tx>
            <c:strRef>
              <c:f>'Figure 5'!$D$47</c:f>
              <c:strCache>
                <c:ptCount val="1"/>
                <c:pt idx="0">
                  <c:v>ABH-3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'Figure 5'!$B$47:$B$52</c:f>
              <c:numCache>
                <c:formatCode>General</c:formatCode>
                <c:ptCount val="6"/>
                <c:pt idx="0">
                  <c:v>8.7200000000000006</c:v>
                </c:pt>
                <c:pt idx="1">
                  <c:v>13.95</c:v>
                </c:pt>
                <c:pt idx="2">
                  <c:v>19.18</c:v>
                </c:pt>
                <c:pt idx="3">
                  <c:v>22.67</c:v>
                </c:pt>
                <c:pt idx="4">
                  <c:v>29.07</c:v>
                </c:pt>
                <c:pt idx="5">
                  <c:v>29.36</c:v>
                </c:pt>
              </c:numCache>
            </c:numRef>
          </c:xVal>
          <c:yVal>
            <c:numRef>
              <c:f>'Figure 5'!$C$47:$C$52</c:f>
              <c:numCache>
                <c:formatCode>General</c:formatCode>
                <c:ptCount val="6"/>
                <c:pt idx="0">
                  <c:v>91.248000000000005</c:v>
                </c:pt>
                <c:pt idx="1">
                  <c:v>89.248000000000005</c:v>
                </c:pt>
                <c:pt idx="2">
                  <c:v>87.248000000000005</c:v>
                </c:pt>
                <c:pt idx="3">
                  <c:v>85.248000000000005</c:v>
                </c:pt>
                <c:pt idx="4">
                  <c:v>83.248000000000005</c:v>
                </c:pt>
                <c:pt idx="5">
                  <c:v>81.748000000000005</c:v>
                </c:pt>
              </c:numCache>
            </c:numRef>
          </c:yVal>
          <c:smooth val="0"/>
        </c:ser>
        <c:ser>
          <c:idx val="6"/>
          <c:order val="23"/>
          <c:tx>
            <c:strRef>
              <c:f>'Figure 5'!$D$53</c:f>
              <c:strCache>
                <c:ptCount val="1"/>
                <c:pt idx="0">
                  <c:v>ABH-4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'Figure 5'!$B$53:$B$58</c:f>
              <c:numCache>
                <c:formatCode>General</c:formatCode>
                <c:ptCount val="6"/>
                <c:pt idx="0">
                  <c:v>3.14</c:v>
                </c:pt>
                <c:pt idx="1">
                  <c:v>15.96</c:v>
                </c:pt>
                <c:pt idx="2">
                  <c:v>17.96</c:v>
                </c:pt>
                <c:pt idx="3">
                  <c:v>26.51</c:v>
                </c:pt>
                <c:pt idx="4">
                  <c:v>28.79</c:v>
                </c:pt>
                <c:pt idx="5">
                  <c:v>25.08</c:v>
                </c:pt>
              </c:numCache>
            </c:numRef>
          </c:xVal>
          <c:yVal>
            <c:numRef>
              <c:f>'Figure 5'!$C$53:$C$58</c:f>
              <c:numCache>
                <c:formatCode>General</c:formatCode>
                <c:ptCount val="6"/>
                <c:pt idx="0">
                  <c:v>92.25</c:v>
                </c:pt>
                <c:pt idx="1">
                  <c:v>90.25</c:v>
                </c:pt>
                <c:pt idx="2">
                  <c:v>88.25</c:v>
                </c:pt>
                <c:pt idx="3">
                  <c:v>86.25</c:v>
                </c:pt>
                <c:pt idx="4">
                  <c:v>84.25</c:v>
                </c:pt>
                <c:pt idx="5">
                  <c:v>82.25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26304"/>
        <c:axId val="145631104"/>
      </c:scatterChart>
      <c:valAx>
        <c:axId val="143826304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SG" sz="900" b="0">
                    <a:latin typeface="+mn-lt"/>
                  </a:rPr>
                  <a:t>Cu (kPa)</a:t>
                </a:r>
              </a:p>
            </c:rich>
          </c:tx>
          <c:layout>
            <c:manualLayout>
              <c:xMode val="edge"/>
              <c:yMode val="edge"/>
              <c:x val="0.39384085850028239"/>
              <c:y val="0.7704866239546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5631104"/>
        <c:crosses val="autoZero"/>
        <c:crossBetween val="midCat"/>
        <c:majorUnit val="20"/>
        <c:minorUnit val="10"/>
      </c:valAx>
      <c:valAx>
        <c:axId val="145631104"/>
        <c:scaling>
          <c:orientation val="minMax"/>
          <c:max val="94"/>
          <c:min val="7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SG" sz="900" b="0">
                    <a:latin typeface="+mn-lt"/>
                  </a:rPr>
                  <a:t>Reduced Level (RLm)</a:t>
                </a:r>
              </a:p>
            </c:rich>
          </c:tx>
          <c:layout>
            <c:manualLayout>
              <c:xMode val="edge"/>
              <c:yMode val="edge"/>
              <c:x val="3.3930695371939268E-3"/>
              <c:y val="0.325497464990789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l-GR"/>
          </a:p>
        </c:txPr>
        <c:crossAx val="143826304"/>
        <c:crosses val="autoZero"/>
        <c:crossBetween val="midCat"/>
        <c:majorUnit val="2"/>
        <c:min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8"/>
        <c:delete val="1"/>
      </c:legendEntry>
      <c:layout>
        <c:manualLayout>
          <c:xMode val="edge"/>
          <c:yMode val="edge"/>
          <c:x val="0.57746024784876571"/>
          <c:y val="9.4964216429468049E-2"/>
          <c:w val="0.41955918801289083"/>
          <c:h val="0.78784923623677472"/>
        </c:manualLayout>
      </c:layout>
      <c:overlay val="0"/>
      <c:txPr>
        <a:bodyPr/>
        <a:lstStyle/>
        <a:p>
          <a:pPr>
            <a:defRPr sz="800">
              <a:latin typeface="+mn-lt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SG"/>
              <a:t>Undrained Shear Strength (LMC) </a:t>
            </a:r>
          </a:p>
        </c:rich>
      </c:tx>
      <c:layout>
        <c:manualLayout>
          <c:xMode val="edge"/>
          <c:yMode val="edge"/>
          <c:x val="0.24155863092870966"/>
          <c:y val="1.71755249343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7461756674357"/>
          <c:y val="0.1437481595288394"/>
          <c:w val="0.4537766112569262"/>
          <c:h val="0.70281480058895074"/>
        </c:manualLayout>
      </c:layout>
      <c:scatterChart>
        <c:scatterStyle val="lineMarker"/>
        <c:varyColors val="0"/>
        <c:ser>
          <c:idx val="0"/>
          <c:order val="0"/>
          <c:tx>
            <c:v>MBH2</c:v>
          </c:tx>
          <c:spPr>
            <a:ln w="28575">
              <a:noFill/>
            </a:ln>
          </c:spPr>
          <c:marker>
            <c:symbol val="dash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5'!$I$6:$I$8</c:f>
              <c:numCache>
                <c:formatCode>General</c:formatCode>
                <c:ptCount val="3"/>
                <c:pt idx="0">
                  <c:v>48.48</c:v>
                </c:pt>
                <c:pt idx="1">
                  <c:v>57.6</c:v>
                </c:pt>
                <c:pt idx="2">
                  <c:v>55.68</c:v>
                </c:pt>
              </c:numCache>
            </c:numRef>
          </c:xVal>
          <c:yVal>
            <c:numRef>
              <c:f>'Figure 5'!$J$6:$J$8</c:f>
              <c:numCache>
                <c:formatCode>General</c:formatCode>
                <c:ptCount val="3"/>
                <c:pt idx="0">
                  <c:v>77.248000000000005</c:v>
                </c:pt>
                <c:pt idx="1">
                  <c:v>74.248000000000005</c:v>
                </c:pt>
                <c:pt idx="2">
                  <c:v>71.248000000000005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'Figure 5'!$K$31</c:f>
              <c:strCache>
                <c:ptCount val="1"/>
                <c:pt idx="0">
                  <c:v>Design shear strength for LMC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'Figure 5'!$I$31:$I$32</c:f>
              <c:numCache>
                <c:formatCode>General</c:formatCode>
                <c:ptCount val="2"/>
                <c:pt idx="0">
                  <c:v>33.75</c:v>
                </c:pt>
                <c:pt idx="1">
                  <c:v>67.5</c:v>
                </c:pt>
              </c:numCache>
            </c:numRef>
          </c:xVal>
          <c:yVal>
            <c:numRef>
              <c:f>'Figure 5'!$J$31:$J$32</c:f>
              <c:numCache>
                <c:formatCode>General</c:formatCode>
                <c:ptCount val="2"/>
                <c:pt idx="0">
                  <c:v>79.5</c:v>
                </c:pt>
                <c:pt idx="1">
                  <c:v>66</c:v>
                </c:pt>
              </c:numCache>
            </c:numRef>
          </c:yVal>
          <c:smooth val="0"/>
        </c:ser>
        <c:ser>
          <c:idx val="3"/>
          <c:order val="2"/>
          <c:tx>
            <c:v>MBH1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5'!$I$4:$I$5</c:f>
              <c:numCache>
                <c:formatCode>General</c:formatCode>
                <c:ptCount val="2"/>
                <c:pt idx="0">
                  <c:v>31.61</c:v>
                </c:pt>
                <c:pt idx="1">
                  <c:v>51.84</c:v>
                </c:pt>
              </c:numCache>
            </c:numRef>
          </c:xVal>
          <c:yVal>
            <c:numRef>
              <c:f>'Figure 5'!$J$4:$J$5</c:f>
              <c:numCache>
                <c:formatCode>General</c:formatCode>
                <c:ptCount val="2"/>
                <c:pt idx="0">
                  <c:v>88.85</c:v>
                </c:pt>
                <c:pt idx="1">
                  <c:v>88.85</c:v>
                </c:pt>
              </c:numCache>
            </c:numRef>
          </c:yVal>
          <c:smooth val="0"/>
        </c:ser>
        <c:ser>
          <c:idx val="4"/>
          <c:order val="3"/>
          <c:tx>
            <c:v>MBH3</c:v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'Figure 5'!$I$9:$I$11</c:f>
              <c:numCache>
                <c:formatCode>General</c:formatCode>
                <c:ptCount val="3"/>
                <c:pt idx="0">
                  <c:v>58.08</c:v>
                </c:pt>
                <c:pt idx="1">
                  <c:v>75.25</c:v>
                </c:pt>
                <c:pt idx="2">
                  <c:v>68.16</c:v>
                </c:pt>
              </c:numCache>
            </c:numRef>
          </c:xVal>
          <c:yVal>
            <c:numRef>
              <c:f>'Figure 5'!$J$9:$J$11</c:f>
              <c:numCache>
                <c:formatCode>General</c:formatCode>
                <c:ptCount val="3"/>
                <c:pt idx="0">
                  <c:v>79.25</c:v>
                </c:pt>
                <c:pt idx="1">
                  <c:v>75.25</c:v>
                </c:pt>
                <c:pt idx="2">
                  <c:v>72.25</c:v>
                </c:pt>
              </c:numCache>
            </c:numRef>
          </c:yVal>
          <c:smooth val="0"/>
        </c:ser>
        <c:ser>
          <c:idx val="5"/>
          <c:order val="4"/>
          <c:tx>
            <c:v>MBH4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'Figure 5'!$I$12</c:f>
              <c:numCache>
                <c:formatCode>General</c:formatCode>
                <c:ptCount val="1"/>
                <c:pt idx="0">
                  <c:v>39.58</c:v>
                </c:pt>
              </c:numCache>
            </c:numRef>
          </c:xVal>
          <c:yVal>
            <c:numRef>
              <c:f>'Figure 5'!$J$12</c:f>
              <c:numCache>
                <c:formatCode>General</c:formatCode>
                <c:ptCount val="1"/>
                <c:pt idx="0">
                  <c:v>76.150000000000006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'Figure 5'!$K$29</c:f>
              <c:strCache>
                <c:ptCount val="1"/>
                <c:pt idx="0">
                  <c:v>MCE/005/VST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'Figure 5'!$I$29:$I$30</c:f>
              <c:numCache>
                <c:formatCode>General</c:formatCode>
                <c:ptCount val="2"/>
                <c:pt idx="0">
                  <c:v>40.85</c:v>
                </c:pt>
                <c:pt idx="1">
                  <c:v>51.78</c:v>
                </c:pt>
              </c:numCache>
            </c:numRef>
          </c:xVal>
          <c:yVal>
            <c:numRef>
              <c:f>'Figure 5'!$J$29:$J$30</c:f>
              <c:numCache>
                <c:formatCode>General</c:formatCode>
                <c:ptCount val="2"/>
                <c:pt idx="0">
                  <c:v>76.55</c:v>
                </c:pt>
                <c:pt idx="1">
                  <c:v>74.650000000000006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'Figure 5'!$D$42</c:f>
              <c:strCache>
                <c:ptCount val="1"/>
                <c:pt idx="0">
                  <c:v>ABH-1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'Figure 5'!$I$13:$I$16</c:f>
              <c:numCache>
                <c:formatCode>General</c:formatCode>
                <c:ptCount val="4"/>
                <c:pt idx="0">
                  <c:v>70.56</c:v>
                </c:pt>
                <c:pt idx="1">
                  <c:v>56.64</c:v>
                </c:pt>
                <c:pt idx="2">
                  <c:v>54.72</c:v>
                </c:pt>
                <c:pt idx="3">
                  <c:v>62.4</c:v>
                </c:pt>
              </c:numCache>
            </c:numRef>
          </c:xVal>
          <c:yVal>
            <c:numRef>
              <c:f>'Figure 5'!$J$13:$J$16</c:f>
              <c:numCache>
                <c:formatCode>General</c:formatCode>
                <c:ptCount val="4"/>
                <c:pt idx="0">
                  <c:v>78.05</c:v>
                </c:pt>
                <c:pt idx="1">
                  <c:v>76.05</c:v>
                </c:pt>
                <c:pt idx="2">
                  <c:v>74.05</c:v>
                </c:pt>
                <c:pt idx="3">
                  <c:v>72.05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'Figure 5'!$D$43</c:f>
              <c:strCache>
                <c:ptCount val="1"/>
                <c:pt idx="0">
                  <c:v>ABH-2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5'!$I$17:$I$22</c:f>
              <c:numCache>
                <c:formatCode>General</c:formatCode>
                <c:ptCount val="6"/>
                <c:pt idx="0">
                  <c:v>73.94</c:v>
                </c:pt>
                <c:pt idx="1">
                  <c:v>60</c:v>
                </c:pt>
                <c:pt idx="2">
                  <c:v>60.45</c:v>
                </c:pt>
                <c:pt idx="3">
                  <c:v>59.92</c:v>
                </c:pt>
                <c:pt idx="4">
                  <c:v>59.06</c:v>
                </c:pt>
                <c:pt idx="5">
                  <c:v>66.959999999999994</c:v>
                </c:pt>
              </c:numCache>
            </c:numRef>
          </c:xVal>
          <c:yVal>
            <c:numRef>
              <c:f>'Figure 5'!$J$17:$J$22</c:f>
              <c:numCache>
                <c:formatCode>General</c:formatCode>
                <c:ptCount val="6"/>
                <c:pt idx="0">
                  <c:v>77.150000000000006</c:v>
                </c:pt>
                <c:pt idx="1">
                  <c:v>75.150000000000006</c:v>
                </c:pt>
                <c:pt idx="2">
                  <c:v>73.150000000000006</c:v>
                </c:pt>
                <c:pt idx="3">
                  <c:v>71.150000000000006</c:v>
                </c:pt>
                <c:pt idx="4">
                  <c:v>69.150000000000006</c:v>
                </c:pt>
                <c:pt idx="5">
                  <c:v>67.150000000000006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'Figure 5'!$D$47</c:f>
              <c:strCache>
                <c:ptCount val="1"/>
                <c:pt idx="0">
                  <c:v>ABH-3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'Figure 5'!$I$23:$I$24</c:f>
              <c:numCache>
                <c:formatCode>General</c:formatCode>
                <c:ptCount val="2"/>
                <c:pt idx="0">
                  <c:v>58.56</c:v>
                </c:pt>
                <c:pt idx="1">
                  <c:v>62.4</c:v>
                </c:pt>
              </c:numCache>
            </c:numRef>
          </c:xVal>
          <c:yVal>
            <c:numRef>
              <c:f>'Figure 5'!$J$23:$J$24</c:f>
              <c:numCache>
                <c:formatCode>General</c:formatCode>
                <c:ptCount val="2"/>
                <c:pt idx="0">
                  <c:v>74.248000000000005</c:v>
                </c:pt>
                <c:pt idx="1">
                  <c:v>72.248000000000005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'Figure 5'!$D$53</c:f>
              <c:strCache>
                <c:ptCount val="1"/>
                <c:pt idx="0">
                  <c:v>ABH-4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'Figure 5'!$I$25:$I$28</c:f>
              <c:numCache>
                <c:formatCode>General</c:formatCode>
                <c:ptCount val="4"/>
                <c:pt idx="0">
                  <c:v>47.94</c:v>
                </c:pt>
                <c:pt idx="1">
                  <c:v>47</c:v>
                </c:pt>
                <c:pt idx="2">
                  <c:v>48.4</c:v>
                </c:pt>
                <c:pt idx="3">
                  <c:v>55.93</c:v>
                </c:pt>
              </c:numCache>
            </c:numRef>
          </c:xVal>
          <c:yVal>
            <c:numRef>
              <c:f>'Figure 5'!$J$25:$J$28</c:f>
              <c:numCache>
                <c:formatCode>General</c:formatCode>
                <c:ptCount val="4"/>
                <c:pt idx="0">
                  <c:v>74.25</c:v>
                </c:pt>
                <c:pt idx="1">
                  <c:v>73.25</c:v>
                </c:pt>
                <c:pt idx="2">
                  <c:v>72.25</c:v>
                </c:pt>
                <c:pt idx="3">
                  <c:v>71.25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83552"/>
        <c:axId val="210615680"/>
      </c:scatterChart>
      <c:valAx>
        <c:axId val="210583552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SG" sz="1000" b="0">
                    <a:latin typeface="+mn-lt"/>
                  </a:rPr>
                  <a:t>Cu (kPa)</a:t>
                </a:r>
              </a:p>
            </c:rich>
          </c:tx>
          <c:layout>
            <c:manualLayout>
              <c:xMode val="edge"/>
              <c:yMode val="edge"/>
              <c:x val="0.43378536016331293"/>
              <c:y val="0.78255741469816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210615680"/>
        <c:crosses val="autoZero"/>
        <c:crossBetween val="midCat"/>
        <c:majorUnit val="20"/>
        <c:minorUnit val="10"/>
      </c:valAx>
      <c:valAx>
        <c:axId val="210615680"/>
        <c:scaling>
          <c:orientation val="minMax"/>
          <c:max val="80"/>
          <c:min val="6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SG" sz="900" b="0">
                    <a:latin typeface="+mn-lt"/>
                  </a:rPr>
                  <a:t>Reduced</a:t>
                </a:r>
                <a:r>
                  <a:rPr lang="en-SG" sz="900" b="0" baseline="0">
                    <a:latin typeface="+mn-lt"/>
                  </a:rPr>
                  <a:t> Level</a:t>
                </a:r>
                <a:endParaRPr lang="en-SG" sz="900" b="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0580874360401919E-3"/>
              <c:y val="0.259961942257217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l-GR"/>
          </a:p>
        </c:txPr>
        <c:crossAx val="210583552"/>
        <c:crosses val="autoZero"/>
        <c:crossBetween val="midCat"/>
        <c:majorUnit val="2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655319600201492"/>
          <c:y val="0.10527230971128608"/>
          <c:w val="0.41266762109281796"/>
          <c:h val="0.73212598425196851"/>
        </c:manualLayout>
      </c:layout>
      <c:overlay val="0"/>
      <c:txPr>
        <a:bodyPr/>
        <a:lstStyle/>
        <a:p>
          <a:pPr>
            <a:defRPr sz="900">
              <a:latin typeface="+mn-lt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600075</xdr:colOff>
      <xdr:row>68</xdr:row>
      <xdr:rowOff>142875</xdr:rowOff>
    </xdr:from>
    <xdr:to>
      <xdr:col>41</xdr:col>
      <xdr:colOff>95250</xdr:colOff>
      <xdr:row>85</xdr:row>
      <xdr:rowOff>76200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0</xdr:colOff>
      <xdr:row>68</xdr:row>
      <xdr:rowOff>133350</xdr:rowOff>
    </xdr:from>
    <xdr:to>
      <xdr:col>49</xdr:col>
      <xdr:colOff>114300</xdr:colOff>
      <xdr:row>85</xdr:row>
      <xdr:rowOff>47625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603250</xdr:colOff>
      <xdr:row>69</xdr:row>
      <xdr:rowOff>0</xdr:rowOff>
    </xdr:from>
    <xdr:to>
      <xdr:col>41</xdr:col>
      <xdr:colOff>95250</xdr:colOff>
      <xdr:row>85</xdr:row>
      <xdr:rowOff>76200</xdr:rowOff>
    </xdr:to>
    <xdr:sp macro="" textlink="">
      <xdr:nvSpPr>
        <xdr:cNvPr id="7" name="Rectangle 6"/>
        <xdr:cNvSpPr/>
      </xdr:nvSpPr>
      <xdr:spPr>
        <a:xfrm>
          <a:off x="20691475" y="12487275"/>
          <a:ext cx="3759200" cy="30765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SG"/>
        </a:p>
      </xdr:txBody>
    </xdr:sp>
    <xdr:clientData/>
  </xdr:twoCellAnchor>
  <xdr:twoCellAnchor>
    <xdr:from>
      <xdr:col>43</xdr:col>
      <xdr:colOff>444500</xdr:colOff>
      <xdr:row>70</xdr:row>
      <xdr:rowOff>12700</xdr:rowOff>
    </xdr:from>
    <xdr:to>
      <xdr:col>46</xdr:col>
      <xdr:colOff>311150</xdr:colOff>
      <xdr:row>81</xdr:row>
      <xdr:rowOff>133350</xdr:rowOff>
    </xdr:to>
    <xdr:sp macro="" textlink="">
      <xdr:nvSpPr>
        <xdr:cNvPr id="8" name="Rectangle 7"/>
        <xdr:cNvSpPr/>
      </xdr:nvSpPr>
      <xdr:spPr>
        <a:xfrm>
          <a:off x="26019125" y="12785725"/>
          <a:ext cx="1695450" cy="22637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SG"/>
        </a:p>
      </xdr:txBody>
    </xdr:sp>
    <xdr:clientData/>
  </xdr:twoCellAnchor>
  <xdr:twoCellAnchor>
    <xdr:from>
      <xdr:col>34</xdr:col>
      <xdr:colOff>412750</xdr:colOff>
      <xdr:row>68</xdr:row>
      <xdr:rowOff>0</xdr:rowOff>
    </xdr:from>
    <xdr:to>
      <xdr:col>49</xdr:col>
      <xdr:colOff>596900</xdr:colOff>
      <xdr:row>88</xdr:row>
      <xdr:rowOff>50800</xdr:rowOff>
    </xdr:to>
    <xdr:sp macro="" textlink="">
      <xdr:nvSpPr>
        <xdr:cNvPr id="9" name="Rectangle 8"/>
        <xdr:cNvSpPr/>
      </xdr:nvSpPr>
      <xdr:spPr>
        <a:xfrm>
          <a:off x="20500975" y="12344400"/>
          <a:ext cx="9328150" cy="3765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SG"/>
        </a:p>
      </xdr:txBody>
    </xdr:sp>
    <xdr:clientData/>
  </xdr:twoCellAnchor>
  <xdr:twoCellAnchor>
    <xdr:from>
      <xdr:col>43</xdr:col>
      <xdr:colOff>6350</xdr:colOff>
      <xdr:row>68</xdr:row>
      <xdr:rowOff>120650</xdr:rowOff>
    </xdr:from>
    <xdr:to>
      <xdr:col>49</xdr:col>
      <xdr:colOff>107950</xdr:colOff>
      <xdr:row>85</xdr:row>
      <xdr:rowOff>50800</xdr:rowOff>
    </xdr:to>
    <xdr:sp macro="" textlink="">
      <xdr:nvSpPr>
        <xdr:cNvPr id="11" name="Rectangle 10"/>
        <xdr:cNvSpPr/>
      </xdr:nvSpPr>
      <xdr:spPr>
        <a:xfrm>
          <a:off x="25580975" y="12465050"/>
          <a:ext cx="3759200" cy="3073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S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ThanThanWai/1A_S10A_MBH5_Clay-12m%20into%20OA(resav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4_ThanThanWai\1A_S10A_MBH5_Clay-12m%20into%20OA(resave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C481-Monitoring%20Status\Seawall\Inclinometer%20Readings%20(Fr%20Repor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turning no used"/>
      <sheetName val="DS no used"/>
      <sheetName val="Overturning wo x-wall no used"/>
      <sheetName val="Overturning effective no used"/>
      <sheetName val="DS effective no used"/>
      <sheetName val="Overturning eff wt no-used"/>
      <sheetName val="DS eff wt no-used"/>
      <sheetName val="O"/>
      <sheetName val="DS"/>
    </sheetNames>
    <sheetDataSet>
      <sheetData sheetId="0">
        <row r="32">
          <cell r="AH32" t="str">
            <v>Active and Passive Pressure on Box Structure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turning no used"/>
      <sheetName val="DS no used"/>
      <sheetName val="Overturning wo x-wall no used"/>
      <sheetName val="Overturning effective no used"/>
      <sheetName val="DS effective no used"/>
      <sheetName val="Overturning eff wt no-used"/>
      <sheetName val="DS eff wt no-used"/>
      <sheetName val="O"/>
      <sheetName val="DS"/>
    </sheetNames>
    <sheetDataSet>
      <sheetData sheetId="0">
        <row r="32">
          <cell r="AH32" t="str">
            <v>Active and Passive Pressure on Box Structure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draft_1B(Box 41 to 50)"/>
      <sheetName val="2nd draft_1B(Box 41 to 50)"/>
      <sheetName val="revB_1B(51 to 60)to18Mar13"/>
      <sheetName val="revC_1B(41 to 50)to7Oct-13 "/>
      <sheetName val="1B(Box 51to60)to7Oct13"/>
      <sheetName val="1A(Box 23to28)to7Oct13 "/>
      <sheetName val="1C(Box 29to39)to7Oct13"/>
      <sheetName val="Plots-1B+1A+1C"/>
      <sheetName val="Plots-1B+1A+1C (2)"/>
      <sheetName val="Plots-1B+1A+1C (3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S5">
            <v>-421.47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11"/>
  <sheetViews>
    <sheetView tabSelected="1" zoomScaleNormal="100" zoomScaleSheetLayoutView="100" workbookViewId="0">
      <selection activeCell="F23" sqref="F23"/>
    </sheetView>
  </sheetViews>
  <sheetFormatPr defaultRowHeight="12.75"/>
  <cols>
    <col min="1" max="2" width="9.140625" style="1"/>
    <col min="3" max="3" width="10.5703125" style="1" customWidth="1"/>
    <col min="4" max="4" width="11.7109375" style="1" customWidth="1"/>
    <col min="5" max="6" width="9.140625" style="3"/>
    <col min="7" max="7" width="9.140625" style="1"/>
    <col min="8" max="8" width="11.28515625" style="1" customWidth="1"/>
    <col min="9" max="17" width="9.140625" style="1"/>
    <col min="18" max="18" width="9.140625" style="3"/>
    <col min="19" max="19" width="10.85546875" style="4" customWidth="1"/>
    <col min="20" max="20" width="10" style="4" customWidth="1"/>
    <col min="21" max="21" width="9.140625" style="1"/>
    <col min="22" max="22" width="4.85546875" style="1" customWidth="1"/>
    <col min="23" max="23" width="23.5703125" style="1" customWidth="1"/>
    <col min="24" max="257" width="9.140625" style="1"/>
    <col min="258" max="258" width="11.28515625" style="1" customWidth="1"/>
    <col min="259" max="259" width="5.140625" style="1" customWidth="1"/>
    <col min="260" max="261" width="9.140625" style="1"/>
    <col min="262" max="262" width="10.5703125" style="1" customWidth="1"/>
    <col min="263" max="513" width="9.140625" style="1"/>
    <col min="514" max="514" width="11.28515625" style="1" customWidth="1"/>
    <col min="515" max="515" width="5.140625" style="1" customWidth="1"/>
    <col min="516" max="517" width="9.140625" style="1"/>
    <col min="518" max="518" width="10.5703125" style="1" customWidth="1"/>
    <col min="519" max="769" width="9.140625" style="1"/>
    <col min="770" max="770" width="11.28515625" style="1" customWidth="1"/>
    <col min="771" max="771" width="5.140625" style="1" customWidth="1"/>
    <col min="772" max="773" width="9.140625" style="1"/>
    <col min="774" max="774" width="10.5703125" style="1" customWidth="1"/>
    <col min="775" max="1025" width="9.140625" style="1"/>
    <col min="1026" max="1026" width="11.28515625" style="1" customWidth="1"/>
    <col min="1027" max="1027" width="5.140625" style="1" customWidth="1"/>
    <col min="1028" max="1029" width="9.140625" style="1"/>
    <col min="1030" max="1030" width="10.5703125" style="1" customWidth="1"/>
    <col min="1031" max="1281" width="9.140625" style="1"/>
    <col min="1282" max="1282" width="11.28515625" style="1" customWidth="1"/>
    <col min="1283" max="1283" width="5.140625" style="1" customWidth="1"/>
    <col min="1284" max="1285" width="9.140625" style="1"/>
    <col min="1286" max="1286" width="10.5703125" style="1" customWidth="1"/>
    <col min="1287" max="1537" width="9.140625" style="1"/>
    <col min="1538" max="1538" width="11.28515625" style="1" customWidth="1"/>
    <col min="1539" max="1539" width="5.140625" style="1" customWidth="1"/>
    <col min="1540" max="1541" width="9.140625" style="1"/>
    <col min="1542" max="1542" width="10.5703125" style="1" customWidth="1"/>
    <col min="1543" max="1793" width="9.140625" style="1"/>
    <col min="1794" max="1794" width="11.28515625" style="1" customWidth="1"/>
    <col min="1795" max="1795" width="5.140625" style="1" customWidth="1"/>
    <col min="1796" max="1797" width="9.140625" style="1"/>
    <col min="1798" max="1798" width="10.5703125" style="1" customWidth="1"/>
    <col min="1799" max="2049" width="9.140625" style="1"/>
    <col min="2050" max="2050" width="11.28515625" style="1" customWidth="1"/>
    <col min="2051" max="2051" width="5.140625" style="1" customWidth="1"/>
    <col min="2052" max="2053" width="9.140625" style="1"/>
    <col min="2054" max="2054" width="10.5703125" style="1" customWidth="1"/>
    <col min="2055" max="2305" width="9.140625" style="1"/>
    <col min="2306" max="2306" width="11.28515625" style="1" customWidth="1"/>
    <col min="2307" max="2307" width="5.140625" style="1" customWidth="1"/>
    <col min="2308" max="2309" width="9.140625" style="1"/>
    <col min="2310" max="2310" width="10.5703125" style="1" customWidth="1"/>
    <col min="2311" max="2561" width="9.140625" style="1"/>
    <col min="2562" max="2562" width="11.28515625" style="1" customWidth="1"/>
    <col min="2563" max="2563" width="5.140625" style="1" customWidth="1"/>
    <col min="2564" max="2565" width="9.140625" style="1"/>
    <col min="2566" max="2566" width="10.5703125" style="1" customWidth="1"/>
    <col min="2567" max="2817" width="9.140625" style="1"/>
    <col min="2818" max="2818" width="11.28515625" style="1" customWidth="1"/>
    <col min="2819" max="2819" width="5.140625" style="1" customWidth="1"/>
    <col min="2820" max="2821" width="9.140625" style="1"/>
    <col min="2822" max="2822" width="10.5703125" style="1" customWidth="1"/>
    <col min="2823" max="3073" width="9.140625" style="1"/>
    <col min="3074" max="3074" width="11.28515625" style="1" customWidth="1"/>
    <col min="3075" max="3075" width="5.140625" style="1" customWidth="1"/>
    <col min="3076" max="3077" width="9.140625" style="1"/>
    <col min="3078" max="3078" width="10.5703125" style="1" customWidth="1"/>
    <col min="3079" max="3329" width="9.140625" style="1"/>
    <col min="3330" max="3330" width="11.28515625" style="1" customWidth="1"/>
    <col min="3331" max="3331" width="5.140625" style="1" customWidth="1"/>
    <col min="3332" max="3333" width="9.140625" style="1"/>
    <col min="3334" max="3334" width="10.5703125" style="1" customWidth="1"/>
    <col min="3335" max="3585" width="9.140625" style="1"/>
    <col min="3586" max="3586" width="11.28515625" style="1" customWidth="1"/>
    <col min="3587" max="3587" width="5.140625" style="1" customWidth="1"/>
    <col min="3588" max="3589" width="9.140625" style="1"/>
    <col min="3590" max="3590" width="10.5703125" style="1" customWidth="1"/>
    <col min="3591" max="3841" width="9.140625" style="1"/>
    <col min="3842" max="3842" width="11.28515625" style="1" customWidth="1"/>
    <col min="3843" max="3843" width="5.140625" style="1" customWidth="1"/>
    <col min="3844" max="3845" width="9.140625" style="1"/>
    <col min="3846" max="3846" width="10.5703125" style="1" customWidth="1"/>
    <col min="3847" max="4097" width="9.140625" style="1"/>
    <col min="4098" max="4098" width="11.28515625" style="1" customWidth="1"/>
    <col min="4099" max="4099" width="5.140625" style="1" customWidth="1"/>
    <col min="4100" max="4101" width="9.140625" style="1"/>
    <col min="4102" max="4102" width="10.5703125" style="1" customWidth="1"/>
    <col min="4103" max="4353" width="9.140625" style="1"/>
    <col min="4354" max="4354" width="11.28515625" style="1" customWidth="1"/>
    <col min="4355" max="4355" width="5.140625" style="1" customWidth="1"/>
    <col min="4356" max="4357" width="9.140625" style="1"/>
    <col min="4358" max="4358" width="10.5703125" style="1" customWidth="1"/>
    <col min="4359" max="4609" width="9.140625" style="1"/>
    <col min="4610" max="4610" width="11.28515625" style="1" customWidth="1"/>
    <col min="4611" max="4611" width="5.140625" style="1" customWidth="1"/>
    <col min="4612" max="4613" width="9.140625" style="1"/>
    <col min="4614" max="4614" width="10.5703125" style="1" customWidth="1"/>
    <col min="4615" max="4865" width="9.140625" style="1"/>
    <col min="4866" max="4866" width="11.28515625" style="1" customWidth="1"/>
    <col min="4867" max="4867" width="5.140625" style="1" customWidth="1"/>
    <col min="4868" max="4869" width="9.140625" style="1"/>
    <col min="4870" max="4870" width="10.5703125" style="1" customWidth="1"/>
    <col min="4871" max="5121" width="9.140625" style="1"/>
    <col min="5122" max="5122" width="11.28515625" style="1" customWidth="1"/>
    <col min="5123" max="5123" width="5.140625" style="1" customWidth="1"/>
    <col min="5124" max="5125" width="9.140625" style="1"/>
    <col min="5126" max="5126" width="10.5703125" style="1" customWidth="1"/>
    <col min="5127" max="5377" width="9.140625" style="1"/>
    <col min="5378" max="5378" width="11.28515625" style="1" customWidth="1"/>
    <col min="5379" max="5379" width="5.140625" style="1" customWidth="1"/>
    <col min="5380" max="5381" width="9.140625" style="1"/>
    <col min="5382" max="5382" width="10.5703125" style="1" customWidth="1"/>
    <col min="5383" max="5633" width="9.140625" style="1"/>
    <col min="5634" max="5634" width="11.28515625" style="1" customWidth="1"/>
    <col min="5635" max="5635" width="5.140625" style="1" customWidth="1"/>
    <col min="5636" max="5637" width="9.140625" style="1"/>
    <col min="5638" max="5638" width="10.5703125" style="1" customWidth="1"/>
    <col min="5639" max="5889" width="9.140625" style="1"/>
    <col min="5890" max="5890" width="11.28515625" style="1" customWidth="1"/>
    <col min="5891" max="5891" width="5.140625" style="1" customWidth="1"/>
    <col min="5892" max="5893" width="9.140625" style="1"/>
    <col min="5894" max="5894" width="10.5703125" style="1" customWidth="1"/>
    <col min="5895" max="6145" width="9.140625" style="1"/>
    <col min="6146" max="6146" width="11.28515625" style="1" customWidth="1"/>
    <col min="6147" max="6147" width="5.140625" style="1" customWidth="1"/>
    <col min="6148" max="6149" width="9.140625" style="1"/>
    <col min="6150" max="6150" width="10.5703125" style="1" customWidth="1"/>
    <col min="6151" max="6401" width="9.140625" style="1"/>
    <col min="6402" max="6402" width="11.28515625" style="1" customWidth="1"/>
    <col min="6403" max="6403" width="5.140625" style="1" customWidth="1"/>
    <col min="6404" max="6405" width="9.140625" style="1"/>
    <col min="6406" max="6406" width="10.5703125" style="1" customWidth="1"/>
    <col min="6407" max="6657" width="9.140625" style="1"/>
    <col min="6658" max="6658" width="11.28515625" style="1" customWidth="1"/>
    <col min="6659" max="6659" width="5.140625" style="1" customWidth="1"/>
    <col min="6660" max="6661" width="9.140625" style="1"/>
    <col min="6662" max="6662" width="10.5703125" style="1" customWidth="1"/>
    <col min="6663" max="6913" width="9.140625" style="1"/>
    <col min="6914" max="6914" width="11.28515625" style="1" customWidth="1"/>
    <col min="6915" max="6915" width="5.140625" style="1" customWidth="1"/>
    <col min="6916" max="6917" width="9.140625" style="1"/>
    <col min="6918" max="6918" width="10.5703125" style="1" customWidth="1"/>
    <col min="6919" max="7169" width="9.140625" style="1"/>
    <col min="7170" max="7170" width="11.28515625" style="1" customWidth="1"/>
    <col min="7171" max="7171" width="5.140625" style="1" customWidth="1"/>
    <col min="7172" max="7173" width="9.140625" style="1"/>
    <col min="7174" max="7174" width="10.5703125" style="1" customWidth="1"/>
    <col min="7175" max="7425" width="9.140625" style="1"/>
    <col min="7426" max="7426" width="11.28515625" style="1" customWidth="1"/>
    <col min="7427" max="7427" width="5.140625" style="1" customWidth="1"/>
    <col min="7428" max="7429" width="9.140625" style="1"/>
    <col min="7430" max="7430" width="10.5703125" style="1" customWidth="1"/>
    <col min="7431" max="7681" width="9.140625" style="1"/>
    <col min="7682" max="7682" width="11.28515625" style="1" customWidth="1"/>
    <col min="7683" max="7683" width="5.140625" style="1" customWidth="1"/>
    <col min="7684" max="7685" width="9.140625" style="1"/>
    <col min="7686" max="7686" width="10.5703125" style="1" customWidth="1"/>
    <col min="7687" max="7937" width="9.140625" style="1"/>
    <col min="7938" max="7938" width="11.28515625" style="1" customWidth="1"/>
    <col min="7939" max="7939" width="5.140625" style="1" customWidth="1"/>
    <col min="7940" max="7941" width="9.140625" style="1"/>
    <col min="7942" max="7942" width="10.5703125" style="1" customWidth="1"/>
    <col min="7943" max="8193" width="9.140625" style="1"/>
    <col min="8194" max="8194" width="11.28515625" style="1" customWidth="1"/>
    <col min="8195" max="8195" width="5.140625" style="1" customWidth="1"/>
    <col min="8196" max="8197" width="9.140625" style="1"/>
    <col min="8198" max="8198" width="10.5703125" style="1" customWidth="1"/>
    <col min="8199" max="8449" width="9.140625" style="1"/>
    <col min="8450" max="8450" width="11.28515625" style="1" customWidth="1"/>
    <col min="8451" max="8451" width="5.140625" style="1" customWidth="1"/>
    <col min="8452" max="8453" width="9.140625" style="1"/>
    <col min="8454" max="8454" width="10.5703125" style="1" customWidth="1"/>
    <col min="8455" max="8705" width="9.140625" style="1"/>
    <col min="8706" max="8706" width="11.28515625" style="1" customWidth="1"/>
    <col min="8707" max="8707" width="5.140625" style="1" customWidth="1"/>
    <col min="8708" max="8709" width="9.140625" style="1"/>
    <col min="8710" max="8710" width="10.5703125" style="1" customWidth="1"/>
    <col min="8711" max="8961" width="9.140625" style="1"/>
    <col min="8962" max="8962" width="11.28515625" style="1" customWidth="1"/>
    <col min="8963" max="8963" width="5.140625" style="1" customWidth="1"/>
    <col min="8964" max="8965" width="9.140625" style="1"/>
    <col min="8966" max="8966" width="10.5703125" style="1" customWidth="1"/>
    <col min="8967" max="9217" width="9.140625" style="1"/>
    <col min="9218" max="9218" width="11.28515625" style="1" customWidth="1"/>
    <col min="9219" max="9219" width="5.140625" style="1" customWidth="1"/>
    <col min="9220" max="9221" width="9.140625" style="1"/>
    <col min="9222" max="9222" width="10.5703125" style="1" customWidth="1"/>
    <col min="9223" max="9473" width="9.140625" style="1"/>
    <col min="9474" max="9474" width="11.28515625" style="1" customWidth="1"/>
    <col min="9475" max="9475" width="5.140625" style="1" customWidth="1"/>
    <col min="9476" max="9477" width="9.140625" style="1"/>
    <col min="9478" max="9478" width="10.5703125" style="1" customWidth="1"/>
    <col min="9479" max="9729" width="9.140625" style="1"/>
    <col min="9730" max="9730" width="11.28515625" style="1" customWidth="1"/>
    <col min="9731" max="9731" width="5.140625" style="1" customWidth="1"/>
    <col min="9732" max="9733" width="9.140625" style="1"/>
    <col min="9734" max="9734" width="10.5703125" style="1" customWidth="1"/>
    <col min="9735" max="9985" width="9.140625" style="1"/>
    <col min="9986" max="9986" width="11.28515625" style="1" customWidth="1"/>
    <col min="9987" max="9987" width="5.140625" style="1" customWidth="1"/>
    <col min="9988" max="9989" width="9.140625" style="1"/>
    <col min="9990" max="9990" width="10.5703125" style="1" customWidth="1"/>
    <col min="9991" max="10241" width="9.140625" style="1"/>
    <col min="10242" max="10242" width="11.28515625" style="1" customWidth="1"/>
    <col min="10243" max="10243" width="5.140625" style="1" customWidth="1"/>
    <col min="10244" max="10245" width="9.140625" style="1"/>
    <col min="10246" max="10246" width="10.5703125" style="1" customWidth="1"/>
    <col min="10247" max="10497" width="9.140625" style="1"/>
    <col min="10498" max="10498" width="11.28515625" style="1" customWidth="1"/>
    <col min="10499" max="10499" width="5.140625" style="1" customWidth="1"/>
    <col min="10500" max="10501" width="9.140625" style="1"/>
    <col min="10502" max="10502" width="10.5703125" style="1" customWidth="1"/>
    <col min="10503" max="10753" width="9.140625" style="1"/>
    <col min="10754" max="10754" width="11.28515625" style="1" customWidth="1"/>
    <col min="10755" max="10755" width="5.140625" style="1" customWidth="1"/>
    <col min="10756" max="10757" width="9.140625" style="1"/>
    <col min="10758" max="10758" width="10.5703125" style="1" customWidth="1"/>
    <col min="10759" max="11009" width="9.140625" style="1"/>
    <col min="11010" max="11010" width="11.28515625" style="1" customWidth="1"/>
    <col min="11011" max="11011" width="5.140625" style="1" customWidth="1"/>
    <col min="11012" max="11013" width="9.140625" style="1"/>
    <col min="11014" max="11014" width="10.5703125" style="1" customWidth="1"/>
    <col min="11015" max="11265" width="9.140625" style="1"/>
    <col min="11266" max="11266" width="11.28515625" style="1" customWidth="1"/>
    <col min="11267" max="11267" width="5.140625" style="1" customWidth="1"/>
    <col min="11268" max="11269" width="9.140625" style="1"/>
    <col min="11270" max="11270" width="10.5703125" style="1" customWidth="1"/>
    <col min="11271" max="11521" width="9.140625" style="1"/>
    <col min="11522" max="11522" width="11.28515625" style="1" customWidth="1"/>
    <col min="11523" max="11523" width="5.140625" style="1" customWidth="1"/>
    <col min="11524" max="11525" width="9.140625" style="1"/>
    <col min="11526" max="11526" width="10.5703125" style="1" customWidth="1"/>
    <col min="11527" max="11777" width="9.140625" style="1"/>
    <col min="11778" max="11778" width="11.28515625" style="1" customWidth="1"/>
    <col min="11779" max="11779" width="5.140625" style="1" customWidth="1"/>
    <col min="11780" max="11781" width="9.140625" style="1"/>
    <col min="11782" max="11782" width="10.5703125" style="1" customWidth="1"/>
    <col min="11783" max="12033" width="9.140625" style="1"/>
    <col min="12034" max="12034" width="11.28515625" style="1" customWidth="1"/>
    <col min="12035" max="12035" width="5.140625" style="1" customWidth="1"/>
    <col min="12036" max="12037" width="9.140625" style="1"/>
    <col min="12038" max="12038" width="10.5703125" style="1" customWidth="1"/>
    <col min="12039" max="12289" width="9.140625" style="1"/>
    <col min="12290" max="12290" width="11.28515625" style="1" customWidth="1"/>
    <col min="12291" max="12291" width="5.140625" style="1" customWidth="1"/>
    <col min="12292" max="12293" width="9.140625" style="1"/>
    <col min="12294" max="12294" width="10.5703125" style="1" customWidth="1"/>
    <col min="12295" max="12545" width="9.140625" style="1"/>
    <col min="12546" max="12546" width="11.28515625" style="1" customWidth="1"/>
    <col min="12547" max="12547" width="5.140625" style="1" customWidth="1"/>
    <col min="12548" max="12549" width="9.140625" style="1"/>
    <col min="12550" max="12550" width="10.5703125" style="1" customWidth="1"/>
    <col min="12551" max="12801" width="9.140625" style="1"/>
    <col min="12802" max="12802" width="11.28515625" style="1" customWidth="1"/>
    <col min="12803" max="12803" width="5.140625" style="1" customWidth="1"/>
    <col min="12804" max="12805" width="9.140625" style="1"/>
    <col min="12806" max="12806" width="10.5703125" style="1" customWidth="1"/>
    <col min="12807" max="13057" width="9.140625" style="1"/>
    <col min="13058" max="13058" width="11.28515625" style="1" customWidth="1"/>
    <col min="13059" max="13059" width="5.140625" style="1" customWidth="1"/>
    <col min="13060" max="13061" width="9.140625" style="1"/>
    <col min="13062" max="13062" width="10.5703125" style="1" customWidth="1"/>
    <col min="13063" max="13313" width="9.140625" style="1"/>
    <col min="13314" max="13314" width="11.28515625" style="1" customWidth="1"/>
    <col min="13315" max="13315" width="5.140625" style="1" customWidth="1"/>
    <col min="13316" max="13317" width="9.140625" style="1"/>
    <col min="13318" max="13318" width="10.5703125" style="1" customWidth="1"/>
    <col min="13319" max="13569" width="9.140625" style="1"/>
    <col min="13570" max="13570" width="11.28515625" style="1" customWidth="1"/>
    <col min="13571" max="13571" width="5.140625" style="1" customWidth="1"/>
    <col min="13572" max="13573" width="9.140625" style="1"/>
    <col min="13574" max="13574" width="10.5703125" style="1" customWidth="1"/>
    <col min="13575" max="13825" width="9.140625" style="1"/>
    <col min="13826" max="13826" width="11.28515625" style="1" customWidth="1"/>
    <col min="13827" max="13827" width="5.140625" style="1" customWidth="1"/>
    <col min="13828" max="13829" width="9.140625" style="1"/>
    <col min="13830" max="13830" width="10.5703125" style="1" customWidth="1"/>
    <col min="13831" max="14081" width="9.140625" style="1"/>
    <col min="14082" max="14082" width="11.28515625" style="1" customWidth="1"/>
    <col min="14083" max="14083" width="5.140625" style="1" customWidth="1"/>
    <col min="14084" max="14085" width="9.140625" style="1"/>
    <col min="14086" max="14086" width="10.5703125" style="1" customWidth="1"/>
    <col min="14087" max="14337" width="9.140625" style="1"/>
    <col min="14338" max="14338" width="11.28515625" style="1" customWidth="1"/>
    <col min="14339" max="14339" width="5.140625" style="1" customWidth="1"/>
    <col min="14340" max="14341" width="9.140625" style="1"/>
    <col min="14342" max="14342" width="10.5703125" style="1" customWidth="1"/>
    <col min="14343" max="14593" width="9.140625" style="1"/>
    <col min="14594" max="14594" width="11.28515625" style="1" customWidth="1"/>
    <col min="14595" max="14595" width="5.140625" style="1" customWidth="1"/>
    <col min="14596" max="14597" width="9.140625" style="1"/>
    <col min="14598" max="14598" width="10.5703125" style="1" customWidth="1"/>
    <col min="14599" max="14849" width="9.140625" style="1"/>
    <col min="14850" max="14850" width="11.28515625" style="1" customWidth="1"/>
    <col min="14851" max="14851" width="5.140625" style="1" customWidth="1"/>
    <col min="14852" max="14853" width="9.140625" style="1"/>
    <col min="14854" max="14854" width="10.5703125" style="1" customWidth="1"/>
    <col min="14855" max="15105" width="9.140625" style="1"/>
    <col min="15106" max="15106" width="11.28515625" style="1" customWidth="1"/>
    <col min="15107" max="15107" width="5.140625" style="1" customWidth="1"/>
    <col min="15108" max="15109" width="9.140625" style="1"/>
    <col min="15110" max="15110" width="10.5703125" style="1" customWidth="1"/>
    <col min="15111" max="15361" width="9.140625" style="1"/>
    <col min="15362" max="15362" width="11.28515625" style="1" customWidth="1"/>
    <col min="15363" max="15363" width="5.140625" style="1" customWidth="1"/>
    <col min="15364" max="15365" width="9.140625" style="1"/>
    <col min="15366" max="15366" width="10.5703125" style="1" customWidth="1"/>
    <col min="15367" max="15617" width="9.140625" style="1"/>
    <col min="15618" max="15618" width="11.28515625" style="1" customWidth="1"/>
    <col min="15619" max="15619" width="5.140625" style="1" customWidth="1"/>
    <col min="15620" max="15621" width="9.140625" style="1"/>
    <col min="15622" max="15622" width="10.5703125" style="1" customWidth="1"/>
    <col min="15623" max="15873" width="9.140625" style="1"/>
    <col min="15874" max="15874" width="11.28515625" style="1" customWidth="1"/>
    <col min="15875" max="15875" width="5.140625" style="1" customWidth="1"/>
    <col min="15876" max="15877" width="9.140625" style="1"/>
    <col min="15878" max="15878" width="10.5703125" style="1" customWidth="1"/>
    <col min="15879" max="16129" width="9.140625" style="1"/>
    <col min="16130" max="16130" width="11.28515625" style="1" customWidth="1"/>
    <col min="16131" max="16131" width="5.140625" style="1" customWidth="1"/>
    <col min="16132" max="16133" width="9.140625" style="1"/>
    <col min="16134" max="16134" width="10.5703125" style="1" customWidth="1"/>
    <col min="16135" max="16384" width="9.140625" style="1"/>
  </cols>
  <sheetData>
    <row r="1" spans="2:57">
      <c r="B1" s="2" t="s">
        <v>35</v>
      </c>
      <c r="I1" s="2" t="s">
        <v>37</v>
      </c>
      <c r="L1" s="3"/>
      <c r="M1" s="3"/>
    </row>
    <row r="2" spans="2:57" ht="6.75" customHeight="1">
      <c r="L2" s="3"/>
      <c r="M2" s="3"/>
    </row>
    <row r="3" spans="2:57">
      <c r="B3" s="4" t="s">
        <v>106</v>
      </c>
      <c r="C3" s="4" t="s">
        <v>5</v>
      </c>
      <c r="D3" s="1" t="s">
        <v>32</v>
      </c>
      <c r="I3" s="4" t="s">
        <v>106</v>
      </c>
      <c r="J3" s="4" t="s">
        <v>5</v>
      </c>
      <c r="K3" s="1" t="s">
        <v>32</v>
      </c>
      <c r="L3" s="3"/>
      <c r="M3" s="3"/>
    </row>
    <row r="4" spans="2:57">
      <c r="B4" s="4">
        <v>18.79</v>
      </c>
      <c r="C4" s="4">
        <v>91.6</v>
      </c>
      <c r="D4" s="5" t="s">
        <v>0</v>
      </c>
      <c r="I4" s="4">
        <v>31.61</v>
      </c>
      <c r="J4" s="4">
        <f>88.85-Z64</f>
        <v>88.85</v>
      </c>
      <c r="K4" s="5" t="s">
        <v>27</v>
      </c>
      <c r="L4" s="3"/>
      <c r="M4" s="3"/>
    </row>
    <row r="5" spans="2:57">
      <c r="B5" s="4">
        <v>15.76</v>
      </c>
      <c r="C5" s="4">
        <v>92.1</v>
      </c>
      <c r="D5" s="5" t="s">
        <v>7</v>
      </c>
      <c r="I5" s="4">
        <v>51.84</v>
      </c>
      <c r="J5" s="4">
        <f>88.85-Z65</f>
        <v>88.85</v>
      </c>
      <c r="K5" s="5" t="s">
        <v>27</v>
      </c>
      <c r="L5" s="3"/>
      <c r="M5" s="3"/>
    </row>
    <row r="6" spans="2:57">
      <c r="B6" s="4">
        <v>16.059999999999999</v>
      </c>
      <c r="C6" s="4">
        <v>89.1</v>
      </c>
      <c r="D6" s="5" t="s">
        <v>7</v>
      </c>
      <c r="I6" s="4">
        <v>48.48</v>
      </c>
      <c r="J6" s="4">
        <v>77.248000000000005</v>
      </c>
      <c r="K6" s="4" t="s">
        <v>26</v>
      </c>
      <c r="L6" s="3"/>
      <c r="M6" s="3"/>
    </row>
    <row r="7" spans="2:57">
      <c r="B7" s="4">
        <v>16.97</v>
      </c>
      <c r="C7" s="4">
        <v>91.6</v>
      </c>
      <c r="D7" s="5" t="s">
        <v>9</v>
      </c>
      <c r="I7" s="4">
        <v>57.6</v>
      </c>
      <c r="J7" s="4">
        <v>74.248000000000005</v>
      </c>
      <c r="K7" s="4" t="s">
        <v>26</v>
      </c>
      <c r="L7" s="3"/>
      <c r="M7" s="3"/>
    </row>
    <row r="8" spans="2:57">
      <c r="B8" s="4">
        <v>17.57</v>
      </c>
      <c r="C8" s="4">
        <v>91.6</v>
      </c>
      <c r="D8" s="5" t="s">
        <v>10</v>
      </c>
      <c r="I8" s="4">
        <v>55.68</v>
      </c>
      <c r="J8" s="4">
        <v>71.248000000000005</v>
      </c>
      <c r="K8" s="4" t="s">
        <v>26</v>
      </c>
      <c r="L8" s="3"/>
      <c r="M8" s="3"/>
    </row>
    <row r="9" spans="2:57">
      <c r="B9" s="4">
        <v>12.73</v>
      </c>
      <c r="C9" s="4">
        <v>91.6</v>
      </c>
      <c r="D9" s="5" t="s">
        <v>13</v>
      </c>
      <c r="I9" s="4">
        <v>58.08</v>
      </c>
      <c r="J9" s="4">
        <v>79.25</v>
      </c>
      <c r="K9" s="4" t="s">
        <v>25</v>
      </c>
      <c r="L9" s="3"/>
      <c r="M9" s="3"/>
    </row>
    <row r="10" spans="2:57">
      <c r="B10" s="4">
        <v>17.57</v>
      </c>
      <c r="C10" s="4">
        <v>90.6</v>
      </c>
      <c r="D10" s="5" t="s">
        <v>14</v>
      </c>
      <c r="I10" s="4">
        <v>75.25</v>
      </c>
      <c r="J10" s="4">
        <v>75.25</v>
      </c>
      <c r="K10" s="4" t="s">
        <v>25</v>
      </c>
      <c r="L10" s="3"/>
      <c r="M10" s="3"/>
      <c r="U10" s="6"/>
      <c r="V10" s="6"/>
      <c r="Y10" s="7"/>
      <c r="Z10" s="7"/>
      <c r="AA10" s="7"/>
      <c r="AB10" s="7"/>
      <c r="AC10" s="7"/>
    </row>
    <row r="11" spans="2:57">
      <c r="B11" s="4">
        <v>29.69</v>
      </c>
      <c r="C11" s="4">
        <v>87.6</v>
      </c>
      <c r="D11" s="5" t="s">
        <v>14</v>
      </c>
      <c r="I11" s="4">
        <v>68.16</v>
      </c>
      <c r="J11" s="4">
        <v>72.25</v>
      </c>
      <c r="K11" s="4" t="s">
        <v>25</v>
      </c>
      <c r="L11" s="3"/>
      <c r="M11" s="3"/>
    </row>
    <row r="12" spans="2:57">
      <c r="B12" s="4">
        <v>14.54</v>
      </c>
      <c r="C12" s="4">
        <v>91.6</v>
      </c>
      <c r="D12" s="5" t="s">
        <v>16</v>
      </c>
      <c r="I12" s="4">
        <v>39.58</v>
      </c>
      <c r="J12" s="4">
        <v>76.150000000000006</v>
      </c>
      <c r="K12" s="4" t="s">
        <v>24</v>
      </c>
      <c r="L12" s="3"/>
      <c r="M12" s="3"/>
      <c r="BC12" s="1">
        <f>103-BD12</f>
        <v>13</v>
      </c>
      <c r="BD12" s="1">
        <v>90</v>
      </c>
      <c r="BE12" s="1">
        <f>10+1.5*(BC12-10)</f>
        <v>14.5</v>
      </c>
    </row>
    <row r="13" spans="2:57">
      <c r="B13" s="4">
        <v>19.39</v>
      </c>
      <c r="C13" s="4">
        <v>89.1</v>
      </c>
      <c r="D13" s="5" t="s">
        <v>16</v>
      </c>
      <c r="I13" s="4">
        <v>70.56</v>
      </c>
      <c r="J13" s="4">
        <v>78.05</v>
      </c>
      <c r="K13" s="1" t="s">
        <v>28</v>
      </c>
      <c r="L13" s="3"/>
      <c r="M13" s="3"/>
      <c r="BC13" s="1">
        <f>103-BD13</f>
        <v>23</v>
      </c>
      <c r="BD13" s="1">
        <v>80</v>
      </c>
      <c r="BE13" s="1">
        <f>10+1.5*(BC13-10)</f>
        <v>29.5</v>
      </c>
    </row>
    <row r="14" spans="2:57">
      <c r="B14" s="4">
        <v>13.64</v>
      </c>
      <c r="C14" s="4">
        <v>91.6</v>
      </c>
      <c r="D14" s="5" t="s">
        <v>19</v>
      </c>
      <c r="H14" s="6"/>
      <c r="I14" s="4">
        <v>56.64</v>
      </c>
      <c r="J14" s="4">
        <v>76.05</v>
      </c>
      <c r="K14" s="1" t="s">
        <v>28</v>
      </c>
      <c r="L14" s="3"/>
      <c r="M14" s="3"/>
    </row>
    <row r="15" spans="2:57">
      <c r="B15" s="4">
        <v>24.85</v>
      </c>
      <c r="C15" s="4">
        <v>89.1</v>
      </c>
      <c r="D15" s="5" t="s">
        <v>19</v>
      </c>
      <c r="I15" s="4">
        <v>54.72</v>
      </c>
      <c r="J15" s="4">
        <v>74.05</v>
      </c>
      <c r="K15" s="1" t="s">
        <v>28</v>
      </c>
      <c r="L15" s="3"/>
      <c r="M15" s="3"/>
    </row>
    <row r="16" spans="2:57">
      <c r="B16" s="4">
        <v>17.27</v>
      </c>
      <c r="C16" s="4">
        <v>91.1</v>
      </c>
      <c r="D16" s="5" t="s">
        <v>22</v>
      </c>
      <c r="I16" s="4">
        <v>62.4</v>
      </c>
      <c r="J16" s="4">
        <v>72.05</v>
      </c>
      <c r="K16" s="1" t="s">
        <v>28</v>
      </c>
      <c r="L16" s="3"/>
      <c r="M16" s="3"/>
      <c r="BC16" s="1">
        <f>103-BD16</f>
        <v>23</v>
      </c>
      <c r="BD16" s="1">
        <v>80</v>
      </c>
      <c r="BE16" s="1">
        <f>20+1.5*(BC16-10)</f>
        <v>39.5</v>
      </c>
    </row>
    <row r="17" spans="2:57">
      <c r="B17" s="4">
        <v>19.09</v>
      </c>
      <c r="C17" s="4">
        <v>88.6</v>
      </c>
      <c r="D17" s="5" t="s">
        <v>22</v>
      </c>
      <c r="H17" s="6"/>
      <c r="I17" s="4">
        <v>73.94</v>
      </c>
      <c r="J17" s="4">
        <v>77.150000000000006</v>
      </c>
      <c r="K17" s="1" t="s">
        <v>29</v>
      </c>
      <c r="L17" s="3"/>
      <c r="M17" s="3"/>
      <c r="BC17" s="1">
        <f>103-BD17</f>
        <v>25</v>
      </c>
      <c r="BD17" s="1">
        <v>78</v>
      </c>
      <c r="BE17" s="1">
        <f>20+1.5*(BC17-10)</f>
        <v>42.5</v>
      </c>
    </row>
    <row r="18" spans="2:57">
      <c r="B18" s="4">
        <v>21.21</v>
      </c>
      <c r="C18" s="4">
        <v>85.6</v>
      </c>
      <c r="D18" s="5" t="s">
        <v>22</v>
      </c>
      <c r="I18" s="4">
        <v>60</v>
      </c>
      <c r="J18" s="4">
        <v>75.150000000000006</v>
      </c>
      <c r="K18" s="1" t="s">
        <v>29</v>
      </c>
      <c r="L18" s="3"/>
      <c r="M18" s="3"/>
      <c r="BD18" s="1" t="s">
        <v>6</v>
      </c>
      <c r="BE18" s="1">
        <f>(BE17-BE16)/(BD16-BD17)</f>
        <v>1.5</v>
      </c>
    </row>
    <row r="19" spans="2:57">
      <c r="B19" s="4">
        <v>17.27</v>
      </c>
      <c r="C19" s="4">
        <v>90.1</v>
      </c>
      <c r="D19" s="5" t="s">
        <v>23</v>
      </c>
      <c r="I19" s="4">
        <v>60.45</v>
      </c>
      <c r="J19" s="4">
        <v>73.150000000000006</v>
      </c>
      <c r="K19" s="1" t="s">
        <v>29</v>
      </c>
      <c r="L19" s="3"/>
      <c r="M19" s="3"/>
    </row>
    <row r="20" spans="2:57">
      <c r="B20" s="4">
        <v>16.36</v>
      </c>
      <c r="C20" s="4">
        <v>87.1</v>
      </c>
      <c r="D20" s="5" t="s">
        <v>23</v>
      </c>
      <c r="I20" s="4">
        <v>59.92</v>
      </c>
      <c r="J20" s="4">
        <v>71.150000000000006</v>
      </c>
      <c r="K20" s="1" t="s">
        <v>29</v>
      </c>
      <c r="L20" s="3"/>
      <c r="M20" s="3"/>
      <c r="BB20" s="1" t="s">
        <v>11</v>
      </c>
      <c r="BC20" s="1" t="s">
        <v>2</v>
      </c>
      <c r="BD20" s="1" t="s">
        <v>3</v>
      </c>
      <c r="BE20" s="1" t="s">
        <v>4</v>
      </c>
    </row>
    <row r="21" spans="2:57">
      <c r="B21" s="4">
        <v>24.24</v>
      </c>
      <c r="C21" s="4">
        <v>84.1</v>
      </c>
      <c r="D21" s="5" t="s">
        <v>23</v>
      </c>
      <c r="I21" s="4">
        <v>59.06</v>
      </c>
      <c r="J21" s="4">
        <v>69.150000000000006</v>
      </c>
      <c r="K21" s="1" t="s">
        <v>29</v>
      </c>
      <c r="L21" s="3"/>
      <c r="M21" s="3"/>
      <c r="BC21" s="1">
        <f>103-BD21</f>
        <v>23</v>
      </c>
      <c r="BD21" s="1">
        <v>80</v>
      </c>
      <c r="BE21" s="1">
        <f>2.5*(BC21-10)</f>
        <v>32.5</v>
      </c>
    </row>
    <row r="22" spans="2:57">
      <c r="B22" s="4">
        <v>21.17</v>
      </c>
      <c r="C22" s="4">
        <f>88.85-Z63</f>
        <v>88.85</v>
      </c>
      <c r="D22" s="5" t="s">
        <v>27</v>
      </c>
      <c r="I22" s="4">
        <v>66.959999999999994</v>
      </c>
      <c r="J22" s="4">
        <v>67.150000000000006</v>
      </c>
      <c r="K22" s="1" t="s">
        <v>29</v>
      </c>
      <c r="L22" s="3"/>
      <c r="M22" s="3"/>
      <c r="BD22" s="1" t="s">
        <v>6</v>
      </c>
      <c r="BE22" s="1" t="e">
        <f>(#REF!-BE21)/(BD21-#REF!)</f>
        <v>#REF!</v>
      </c>
    </row>
    <row r="23" spans="2:57">
      <c r="B23" s="4">
        <v>16.28</v>
      </c>
      <c r="C23" s="4">
        <v>88.25</v>
      </c>
      <c r="D23" s="4" t="s">
        <v>25</v>
      </c>
      <c r="I23" s="4">
        <v>58.56</v>
      </c>
      <c r="J23" s="4">
        <v>74.248000000000005</v>
      </c>
      <c r="K23" s="1" t="s">
        <v>30</v>
      </c>
      <c r="L23" s="3"/>
      <c r="M23" s="3"/>
    </row>
    <row r="24" spans="2:57">
      <c r="B24" s="4">
        <v>19.79</v>
      </c>
      <c r="C24" s="4">
        <v>88.15</v>
      </c>
      <c r="D24" s="4" t="s">
        <v>24</v>
      </c>
      <c r="I24" s="4">
        <v>62.4</v>
      </c>
      <c r="J24" s="4">
        <v>72.248000000000005</v>
      </c>
      <c r="K24" s="1" t="s">
        <v>30</v>
      </c>
      <c r="L24" s="3"/>
      <c r="M24" s="3"/>
    </row>
    <row r="25" spans="2:57">
      <c r="B25" s="4">
        <v>28.55</v>
      </c>
      <c r="C25" s="4">
        <v>85.15</v>
      </c>
      <c r="D25" s="4" t="s">
        <v>24</v>
      </c>
      <c r="I25" s="4">
        <v>47.94</v>
      </c>
      <c r="J25" s="4">
        <v>74.25</v>
      </c>
      <c r="K25" s="1" t="s">
        <v>31</v>
      </c>
      <c r="L25" s="3"/>
      <c r="M25" s="3"/>
    </row>
    <row r="26" spans="2:57">
      <c r="B26" s="4">
        <v>26.86</v>
      </c>
      <c r="C26" s="4">
        <v>82.15</v>
      </c>
      <c r="D26" s="4" t="s">
        <v>24</v>
      </c>
      <c r="I26" s="4">
        <v>47</v>
      </c>
      <c r="J26" s="4">
        <v>73.25</v>
      </c>
      <c r="K26" s="1" t="s">
        <v>31</v>
      </c>
      <c r="L26" s="3"/>
      <c r="M26" s="3"/>
      <c r="AA26" s="8"/>
      <c r="AB26" s="8"/>
    </row>
    <row r="27" spans="2:57">
      <c r="B27" s="4">
        <v>17.239999999999998</v>
      </c>
      <c r="C27" s="4">
        <v>89.35</v>
      </c>
      <c r="D27" s="5" t="s">
        <v>20</v>
      </c>
      <c r="I27" s="4">
        <v>48.4</v>
      </c>
      <c r="J27" s="4">
        <v>72.25</v>
      </c>
      <c r="K27" s="1" t="s">
        <v>31</v>
      </c>
      <c r="L27" s="3"/>
      <c r="M27" s="3"/>
      <c r="U27" s="6"/>
      <c r="V27" s="6"/>
    </row>
    <row r="28" spans="2:57">
      <c r="B28" s="4">
        <v>22.62</v>
      </c>
      <c r="C28" s="4">
        <v>86.35</v>
      </c>
      <c r="D28" s="5" t="s">
        <v>20</v>
      </c>
      <c r="I28" s="4">
        <v>55.93</v>
      </c>
      <c r="J28" s="4">
        <v>71.25</v>
      </c>
      <c r="K28" s="1" t="s">
        <v>31</v>
      </c>
      <c r="L28" s="3"/>
      <c r="M28" s="3"/>
    </row>
    <row r="29" spans="2:57">
      <c r="B29" s="4">
        <v>27.14</v>
      </c>
      <c r="C29" s="4">
        <v>83.35</v>
      </c>
      <c r="D29" s="5" t="s">
        <v>20</v>
      </c>
      <c r="I29" s="4">
        <v>40.85</v>
      </c>
      <c r="J29" s="4">
        <v>76.55</v>
      </c>
      <c r="K29" s="1" t="s">
        <v>21</v>
      </c>
      <c r="L29" s="3"/>
      <c r="M29" s="3"/>
    </row>
    <row r="30" spans="2:57">
      <c r="B30" s="4">
        <v>17.809999999999999</v>
      </c>
      <c r="C30" s="4">
        <v>89.05</v>
      </c>
      <c r="D30" s="5" t="s">
        <v>17</v>
      </c>
      <c r="I30" s="4">
        <v>51.78</v>
      </c>
      <c r="J30" s="4">
        <v>74.650000000000006</v>
      </c>
      <c r="K30" s="1" t="s">
        <v>21</v>
      </c>
      <c r="L30" s="3"/>
      <c r="M30" s="3"/>
    </row>
    <row r="31" spans="2:57">
      <c r="B31" s="4">
        <v>22.9</v>
      </c>
      <c r="C31" s="4">
        <v>83.05</v>
      </c>
      <c r="D31" s="5" t="s">
        <v>17</v>
      </c>
      <c r="H31" s="6"/>
      <c r="I31" s="4">
        <f>2.5*(103-J31-10)</f>
        <v>33.75</v>
      </c>
      <c r="J31" s="4">
        <v>79.5</v>
      </c>
      <c r="K31" s="1" t="s">
        <v>34</v>
      </c>
      <c r="L31" s="3"/>
      <c r="M31" s="3"/>
    </row>
    <row r="32" spans="2:57">
      <c r="B32" s="4">
        <v>23.24</v>
      </c>
      <c r="C32" s="4">
        <v>87.55</v>
      </c>
      <c r="D32" s="5" t="s">
        <v>15</v>
      </c>
      <c r="I32" s="4">
        <f>2.5*(103-J32-10)</f>
        <v>67.5</v>
      </c>
      <c r="J32" s="4">
        <v>66</v>
      </c>
      <c r="K32" s="1" t="s">
        <v>34</v>
      </c>
      <c r="L32" s="3"/>
      <c r="M32" s="3"/>
    </row>
    <row r="33" spans="2:47">
      <c r="B33" s="4">
        <v>18.13</v>
      </c>
      <c r="C33" s="4">
        <v>90.25</v>
      </c>
      <c r="D33" s="5" t="s">
        <v>12</v>
      </c>
      <c r="K33" s="1" t="s">
        <v>108</v>
      </c>
      <c r="L33" s="3"/>
      <c r="M33" s="3"/>
    </row>
    <row r="34" spans="2:47">
      <c r="B34" s="4">
        <v>20.68</v>
      </c>
      <c r="C34" s="4">
        <v>88.05</v>
      </c>
      <c r="D34" s="5" t="s">
        <v>12</v>
      </c>
    </row>
    <row r="35" spans="2:47">
      <c r="B35" s="4">
        <v>25.78</v>
      </c>
      <c r="C35" s="4">
        <v>85.05</v>
      </c>
      <c r="D35" s="5" t="s">
        <v>12</v>
      </c>
    </row>
    <row r="36" spans="2:47">
      <c r="B36" s="4">
        <v>37.4</v>
      </c>
      <c r="C36" s="4">
        <v>82.05</v>
      </c>
      <c r="D36" s="5" t="s">
        <v>12</v>
      </c>
    </row>
    <row r="37" spans="2:47">
      <c r="B37" s="4">
        <v>22.1</v>
      </c>
      <c r="C37" s="4">
        <v>88.05</v>
      </c>
      <c r="D37" s="5" t="s">
        <v>8</v>
      </c>
    </row>
    <row r="38" spans="2:47">
      <c r="B38" s="4">
        <v>20.399999999999999</v>
      </c>
      <c r="C38" s="4">
        <v>85.05</v>
      </c>
      <c r="D38" s="5" t="s">
        <v>8</v>
      </c>
      <c r="W38" s="4"/>
    </row>
    <row r="39" spans="2:47">
      <c r="B39" s="4">
        <v>26.06</v>
      </c>
      <c r="C39" s="4">
        <v>82.55</v>
      </c>
      <c r="D39" s="5" t="s">
        <v>8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2:47">
      <c r="B40" s="4">
        <v>34</v>
      </c>
      <c r="C40" s="4">
        <v>85.85</v>
      </c>
      <c r="D40" s="5" t="s">
        <v>1</v>
      </c>
    </row>
    <row r="41" spans="2:47">
      <c r="B41" s="4">
        <v>41.08</v>
      </c>
      <c r="C41" s="4">
        <v>82.85</v>
      </c>
      <c r="D41" s="5" t="s">
        <v>1</v>
      </c>
    </row>
    <row r="42" spans="2:47">
      <c r="B42" s="4">
        <v>9.3000000000000007</v>
      </c>
      <c r="C42" s="4">
        <v>82.55</v>
      </c>
      <c r="D42" s="1" t="s">
        <v>28</v>
      </c>
    </row>
    <row r="43" spans="2:47">
      <c r="B43" s="4">
        <v>11.89</v>
      </c>
      <c r="C43" s="4">
        <v>90.15</v>
      </c>
      <c r="D43" s="1" t="s">
        <v>29</v>
      </c>
    </row>
    <row r="44" spans="2:47">
      <c r="B44" s="4">
        <v>14.5</v>
      </c>
      <c r="C44" s="4">
        <v>88.15</v>
      </c>
      <c r="D44" s="1" t="s">
        <v>29</v>
      </c>
    </row>
    <row r="45" spans="2:47">
      <c r="B45" s="4">
        <v>21.46</v>
      </c>
      <c r="C45" s="4">
        <v>86.15</v>
      </c>
      <c r="D45" s="1" t="s">
        <v>29</v>
      </c>
    </row>
    <row r="46" spans="2:47">
      <c r="B46" s="4">
        <v>26.44</v>
      </c>
      <c r="C46" s="4">
        <v>84.15</v>
      </c>
      <c r="D46" s="1" t="s">
        <v>29</v>
      </c>
    </row>
    <row r="47" spans="2:47">
      <c r="B47" s="4">
        <v>8.7200000000000006</v>
      </c>
      <c r="C47" s="4">
        <v>91.248000000000005</v>
      </c>
      <c r="D47" s="1" t="s">
        <v>30</v>
      </c>
    </row>
    <row r="48" spans="2:47">
      <c r="B48" s="4">
        <v>13.95</v>
      </c>
      <c r="C48" s="4">
        <v>89.248000000000005</v>
      </c>
      <c r="D48" s="1" t="s">
        <v>30</v>
      </c>
    </row>
    <row r="49" spans="2:4">
      <c r="B49" s="4">
        <v>19.18</v>
      </c>
      <c r="C49" s="4">
        <v>87.248000000000005</v>
      </c>
      <c r="D49" s="1" t="s">
        <v>30</v>
      </c>
    </row>
    <row r="50" spans="2:4">
      <c r="B50" s="4">
        <v>22.67</v>
      </c>
      <c r="C50" s="4">
        <v>85.248000000000005</v>
      </c>
      <c r="D50" s="1" t="s">
        <v>30</v>
      </c>
    </row>
    <row r="51" spans="2:4">
      <c r="B51" s="4">
        <v>29.07</v>
      </c>
      <c r="C51" s="4">
        <v>83.248000000000005</v>
      </c>
      <c r="D51" s="1" t="s">
        <v>30</v>
      </c>
    </row>
    <row r="52" spans="2:4">
      <c r="B52" s="4">
        <v>29.36</v>
      </c>
      <c r="C52" s="4">
        <v>81.748000000000005</v>
      </c>
      <c r="D52" s="1" t="s">
        <v>30</v>
      </c>
    </row>
    <row r="53" spans="2:4">
      <c r="B53" s="4">
        <v>3.14</v>
      </c>
      <c r="C53" s="4">
        <v>92.25</v>
      </c>
      <c r="D53" s="1" t="s">
        <v>31</v>
      </c>
    </row>
    <row r="54" spans="2:4">
      <c r="B54" s="4">
        <v>15.96</v>
      </c>
      <c r="C54" s="4">
        <v>90.25</v>
      </c>
      <c r="D54" s="1" t="s">
        <v>31</v>
      </c>
    </row>
    <row r="55" spans="2:4">
      <c r="B55" s="4">
        <v>17.96</v>
      </c>
      <c r="C55" s="4">
        <v>88.25</v>
      </c>
      <c r="D55" s="1" t="s">
        <v>31</v>
      </c>
    </row>
    <row r="56" spans="2:4">
      <c r="B56" s="4">
        <v>26.51</v>
      </c>
      <c r="C56" s="4">
        <v>86.25</v>
      </c>
      <c r="D56" s="1" t="s">
        <v>31</v>
      </c>
    </row>
    <row r="57" spans="2:4">
      <c r="B57" s="4">
        <v>28.79</v>
      </c>
      <c r="C57" s="4">
        <v>84.25</v>
      </c>
      <c r="D57" s="1" t="s">
        <v>31</v>
      </c>
    </row>
    <row r="58" spans="2:4">
      <c r="B58" s="4">
        <v>25.08</v>
      </c>
      <c r="C58" s="4">
        <v>82.25</v>
      </c>
      <c r="D58" s="1" t="s">
        <v>31</v>
      </c>
    </row>
    <row r="59" spans="2:4">
      <c r="B59" s="4">
        <v>17.55</v>
      </c>
      <c r="C59" s="4">
        <v>89.55</v>
      </c>
      <c r="D59" s="1" t="s">
        <v>18</v>
      </c>
    </row>
    <row r="60" spans="2:4">
      <c r="B60" s="4">
        <v>20.25</v>
      </c>
      <c r="C60" s="4">
        <v>87.55</v>
      </c>
      <c r="D60" s="1" t="s">
        <v>18</v>
      </c>
    </row>
    <row r="61" spans="2:4">
      <c r="B61" s="4">
        <v>22.95</v>
      </c>
      <c r="C61" s="4">
        <v>85.55</v>
      </c>
      <c r="D61" s="1" t="s">
        <v>18</v>
      </c>
    </row>
    <row r="62" spans="2:4">
      <c r="B62" s="4">
        <f>10+1.5*(103-C62-10)</f>
        <v>9.25</v>
      </c>
      <c r="C62" s="4">
        <v>93.5</v>
      </c>
      <c r="D62" s="1" t="s">
        <v>33</v>
      </c>
    </row>
    <row r="63" spans="2:4">
      <c r="B63" s="4">
        <f>10+1.5*(103-C63-10)</f>
        <v>31</v>
      </c>
      <c r="C63" s="4">
        <v>79</v>
      </c>
      <c r="D63" s="1" t="s">
        <v>33</v>
      </c>
    </row>
    <row r="64" spans="2:4">
      <c r="D64" s="1" t="s">
        <v>107</v>
      </c>
    </row>
    <row r="66" spans="5:6">
      <c r="E66" s="1"/>
      <c r="F66" s="1"/>
    </row>
    <row r="67" spans="5:6" ht="6.75" customHeight="1">
      <c r="E67" s="1"/>
      <c r="F67" s="1"/>
    </row>
    <row r="68" spans="5:6">
      <c r="E68" s="1"/>
      <c r="F68" s="1"/>
    </row>
    <row r="69" spans="5:6">
      <c r="E69" s="1"/>
      <c r="F69" s="1"/>
    </row>
    <row r="70" spans="5:6">
      <c r="E70" s="1"/>
      <c r="F70" s="1"/>
    </row>
    <row r="71" spans="5:6">
      <c r="E71" s="1"/>
      <c r="F71" s="1"/>
    </row>
    <row r="72" spans="5:6">
      <c r="E72" s="1"/>
      <c r="F72" s="1"/>
    </row>
    <row r="73" spans="5:6">
      <c r="E73" s="1"/>
      <c r="F73" s="1"/>
    </row>
    <row r="74" spans="5:6">
      <c r="E74" s="1"/>
      <c r="F74" s="1"/>
    </row>
    <row r="75" spans="5:6">
      <c r="E75" s="1"/>
      <c r="F75" s="1"/>
    </row>
    <row r="76" spans="5:6">
      <c r="E76" s="1"/>
      <c r="F76" s="1"/>
    </row>
    <row r="77" spans="5:6">
      <c r="E77" s="1"/>
      <c r="F77" s="1"/>
    </row>
    <row r="78" spans="5:6">
      <c r="E78" s="1"/>
      <c r="F78" s="1"/>
    </row>
    <row r="79" spans="5:6">
      <c r="E79" s="1"/>
      <c r="F79" s="1"/>
    </row>
    <row r="80" spans="5:6">
      <c r="E80" s="1"/>
      <c r="F80" s="1"/>
    </row>
    <row r="81" spans="5:6">
      <c r="E81" s="1"/>
      <c r="F81" s="1"/>
    </row>
    <row r="82" spans="5:6">
      <c r="E82" s="1"/>
      <c r="F82" s="1"/>
    </row>
    <row r="83" spans="5:6">
      <c r="E83" s="1"/>
      <c r="F83" s="1"/>
    </row>
    <row r="84" spans="5:6">
      <c r="E84" s="1"/>
      <c r="F84" s="1"/>
    </row>
    <row r="85" spans="5:6">
      <c r="E85" s="1"/>
      <c r="F85" s="1"/>
    </row>
    <row r="86" spans="5:6">
      <c r="E86" s="1"/>
      <c r="F86" s="1"/>
    </row>
    <row r="87" spans="5:6">
      <c r="E87" s="1"/>
      <c r="F87" s="1"/>
    </row>
    <row r="88" spans="5:6">
      <c r="E88" s="1"/>
      <c r="F88" s="1"/>
    </row>
    <row r="89" spans="5:6">
      <c r="E89" s="1"/>
      <c r="F89" s="1"/>
    </row>
    <row r="90" spans="5:6">
      <c r="E90" s="1"/>
      <c r="F90" s="1"/>
    </row>
    <row r="91" spans="5:6">
      <c r="E91" s="1"/>
      <c r="F91" s="1"/>
    </row>
    <row r="92" spans="5:6">
      <c r="E92" s="1"/>
      <c r="F92" s="1"/>
    </row>
    <row r="93" spans="5:6">
      <c r="E93" s="1"/>
      <c r="F93" s="1"/>
    </row>
    <row r="94" spans="5:6">
      <c r="E94" s="1"/>
      <c r="F94" s="1"/>
    </row>
    <row r="95" spans="5:6">
      <c r="E95" s="1"/>
      <c r="F95" s="1"/>
    </row>
    <row r="96" spans="5:6">
      <c r="E96" s="1"/>
      <c r="F96" s="1"/>
    </row>
    <row r="97" spans="5:23">
      <c r="E97" s="1"/>
      <c r="F97" s="1"/>
    </row>
    <row r="98" spans="5:23">
      <c r="E98" s="1"/>
      <c r="F98" s="1"/>
    </row>
    <row r="104" spans="5:23">
      <c r="W104" s="9"/>
    </row>
    <row r="109" spans="5:23">
      <c r="W109" s="9" t="s">
        <v>36</v>
      </c>
    </row>
    <row r="111" spans="5:23">
      <c r="S111" s="10"/>
    </row>
  </sheetData>
  <mergeCells count="1">
    <mergeCell ref="AA26:AB26"/>
  </mergeCells>
  <printOptions horizontalCentered="1" verticalCentered="1"/>
  <pageMargins left="0.5" right="0.5" top="0.5" bottom="0.5" header="0" footer="0"/>
  <pageSetup paperSize="9" scale="1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855"/>
  <sheetViews>
    <sheetView zoomScaleNormal="100" workbookViewId="0">
      <selection activeCell="E33" sqref="E33"/>
    </sheetView>
  </sheetViews>
  <sheetFormatPr defaultRowHeight="12.75"/>
  <cols>
    <col min="1" max="1" width="16" style="13" customWidth="1"/>
    <col min="2" max="2" width="12.5703125" style="12" customWidth="1"/>
    <col min="3" max="3" width="1.28515625" style="12" customWidth="1"/>
    <col min="4" max="4" width="16" style="13" customWidth="1"/>
    <col min="5" max="5" width="13.7109375" style="12" customWidth="1"/>
    <col min="6" max="6" width="1.28515625" style="12" customWidth="1"/>
    <col min="7" max="7" width="15.140625" style="13" customWidth="1"/>
    <col min="8" max="8" width="15.28515625" style="12" customWidth="1"/>
    <col min="9" max="9" width="1.140625" style="12" customWidth="1"/>
    <col min="10" max="10" width="19.42578125" style="14" customWidth="1"/>
    <col min="11" max="11" width="14.7109375" style="15" customWidth="1"/>
    <col min="12" max="12" width="0.85546875" style="26" customWidth="1"/>
    <col min="13" max="28" width="9.140625" style="3"/>
    <col min="29" max="29" width="10" style="3" customWidth="1"/>
    <col min="30" max="30" width="19.140625" style="3" customWidth="1"/>
    <col min="31" max="31" width="11" style="3" customWidth="1"/>
    <col min="32" max="32" width="11.7109375" style="3" customWidth="1"/>
    <col min="33" max="33" width="1.42578125" style="3" customWidth="1"/>
    <col min="34" max="34" width="11.42578125" style="3" customWidth="1"/>
    <col min="35" max="35" width="12.5703125" style="3" customWidth="1"/>
    <col min="36" max="36" width="0.7109375" style="3" customWidth="1"/>
    <col min="37" max="38" width="9.140625" style="3"/>
    <col min="39" max="39" width="0.85546875" style="3" customWidth="1"/>
    <col min="40" max="41" width="9.140625" style="3"/>
    <col min="42" max="42" width="0.85546875" style="3" customWidth="1"/>
    <col min="43" max="44" width="9.140625" style="3"/>
    <col min="45" max="45" width="1" style="3" customWidth="1"/>
    <col min="46" max="46" width="11.5703125" style="3" customWidth="1"/>
    <col min="47" max="48" width="9.140625" style="3"/>
    <col min="49" max="49" width="12.5703125" style="3" customWidth="1"/>
    <col min="50" max="50" width="11" style="3" customWidth="1"/>
    <col min="51" max="16384" width="9.140625" style="3"/>
  </cols>
  <sheetData>
    <row r="1" spans="1:52">
      <c r="A1" s="11" t="s">
        <v>109</v>
      </c>
    </row>
    <row r="2" spans="1:52" ht="6.75" customHeight="1"/>
    <row r="3" spans="1:52">
      <c r="A3" s="16" t="s">
        <v>45</v>
      </c>
      <c r="D3" s="16" t="s">
        <v>46</v>
      </c>
      <c r="G3" s="16" t="s">
        <v>47</v>
      </c>
      <c r="J3" s="13" t="s">
        <v>52</v>
      </c>
      <c r="K3" s="13"/>
    </row>
    <row r="4" spans="1:52">
      <c r="A4" s="12" t="s">
        <v>117</v>
      </c>
      <c r="D4" s="12" t="s">
        <v>118</v>
      </c>
      <c r="G4" s="12" t="s">
        <v>117</v>
      </c>
      <c r="J4" s="13"/>
      <c r="K4" s="13"/>
    </row>
    <row r="5" spans="1:52">
      <c r="A5" s="12" t="s">
        <v>39</v>
      </c>
      <c r="D5" s="12" t="s">
        <v>40</v>
      </c>
      <c r="G5" s="12" t="s">
        <v>41</v>
      </c>
      <c r="J5" s="13"/>
      <c r="K5" s="13"/>
    </row>
    <row r="6" spans="1:52">
      <c r="A6" s="13" t="s">
        <v>102</v>
      </c>
      <c r="B6" s="12" t="s">
        <v>53</v>
      </c>
      <c r="D6" s="13" t="s">
        <v>102</v>
      </c>
      <c r="E6" s="12" t="s">
        <v>53</v>
      </c>
      <c r="G6" s="13" t="s">
        <v>102</v>
      </c>
      <c r="H6" s="12" t="s">
        <v>53</v>
      </c>
      <c r="J6" s="13" t="s">
        <v>102</v>
      </c>
      <c r="K6" s="12" t="s">
        <v>53</v>
      </c>
      <c r="L6" s="3"/>
    </row>
    <row r="7" spans="1:52" ht="5.25" customHeight="1">
      <c r="J7" s="13"/>
      <c r="K7" s="12"/>
      <c r="L7" s="3"/>
    </row>
    <row r="8" spans="1:52">
      <c r="A8" s="17">
        <v>40653</v>
      </c>
      <c r="D8" s="17">
        <v>40653</v>
      </c>
      <c r="G8" s="17">
        <v>40653</v>
      </c>
      <c r="J8" s="18">
        <v>40688</v>
      </c>
      <c r="K8" s="13">
        <v>-385</v>
      </c>
      <c r="AC8" s="27" t="s">
        <v>111</v>
      </c>
      <c r="AQ8" s="28"/>
    </row>
    <row r="9" spans="1:52">
      <c r="A9" s="17">
        <v>40654</v>
      </c>
      <c r="D9" s="17">
        <v>40654</v>
      </c>
      <c r="G9" s="17">
        <v>40654</v>
      </c>
      <c r="J9" s="18">
        <v>41440</v>
      </c>
      <c r="K9" s="13">
        <v>-385</v>
      </c>
      <c r="AE9" s="3" t="s">
        <v>54</v>
      </c>
      <c r="AH9" s="3" t="s">
        <v>54</v>
      </c>
      <c r="AK9" s="3" t="s">
        <v>55</v>
      </c>
      <c r="AN9" s="3" t="s">
        <v>55</v>
      </c>
      <c r="AQ9" s="28" t="s">
        <v>55</v>
      </c>
    </row>
    <row r="10" spans="1:52">
      <c r="A10" s="17">
        <v>40655</v>
      </c>
      <c r="D10" s="17">
        <v>40655</v>
      </c>
      <c r="G10" s="17">
        <v>40655</v>
      </c>
      <c r="J10" s="18">
        <v>41594</v>
      </c>
      <c r="K10" s="13">
        <v>-385</v>
      </c>
      <c r="AC10" s="3" t="s">
        <v>56</v>
      </c>
      <c r="AE10" s="3" t="s">
        <v>57</v>
      </c>
      <c r="AH10" s="3" t="s">
        <v>58</v>
      </c>
      <c r="AK10" s="3" t="s">
        <v>57</v>
      </c>
      <c r="AL10" s="3" t="s">
        <v>58</v>
      </c>
      <c r="AN10" s="3" t="s">
        <v>57</v>
      </c>
      <c r="AO10" s="3" t="s">
        <v>58</v>
      </c>
      <c r="AQ10" s="3" t="s">
        <v>57</v>
      </c>
      <c r="AR10" s="3" t="s">
        <v>58</v>
      </c>
    </row>
    <row r="11" spans="1:52">
      <c r="A11" s="17">
        <v>40656</v>
      </c>
      <c r="D11" s="17">
        <v>40656</v>
      </c>
      <c r="G11" s="17">
        <v>40656</v>
      </c>
      <c r="AQ11" s="28"/>
    </row>
    <row r="12" spans="1:52">
      <c r="A12" s="17">
        <v>40657</v>
      </c>
      <c r="D12" s="17">
        <v>40657</v>
      </c>
      <c r="G12" s="17">
        <v>40657</v>
      </c>
      <c r="AC12" s="3" t="s">
        <v>59</v>
      </c>
      <c r="AQ12" s="28"/>
      <c r="AT12" s="3" t="s">
        <v>60</v>
      </c>
      <c r="AW12" s="3" t="s">
        <v>61</v>
      </c>
    </row>
    <row r="13" spans="1:52">
      <c r="A13" s="17">
        <v>40658</v>
      </c>
      <c r="D13" s="17">
        <v>40658</v>
      </c>
      <c r="G13" s="17">
        <v>40658</v>
      </c>
      <c r="AQ13" s="28"/>
      <c r="AT13" s="28"/>
    </row>
    <row r="14" spans="1:52">
      <c r="A14" s="17">
        <v>40659</v>
      </c>
      <c r="D14" s="17">
        <v>40659</v>
      </c>
      <c r="G14" s="17">
        <v>40659</v>
      </c>
      <c r="AC14" s="3" t="s">
        <v>62</v>
      </c>
      <c r="AD14" s="3" t="s">
        <v>63</v>
      </c>
      <c r="AE14" s="29">
        <v>40683</v>
      </c>
      <c r="AF14" s="30">
        <f t="shared" ref="AF14:AF21" si="0">AE14</f>
        <v>40683</v>
      </c>
      <c r="AG14" s="30"/>
      <c r="AH14" s="29">
        <v>40815</v>
      </c>
      <c r="AI14" s="30">
        <f t="shared" ref="AI14:AI21" si="1">AH14</f>
        <v>40815</v>
      </c>
      <c r="AJ14" s="30"/>
      <c r="AK14" s="28">
        <v>250</v>
      </c>
      <c r="AL14" s="28">
        <v>-600</v>
      </c>
      <c r="AN14" s="3">
        <v>50</v>
      </c>
      <c r="AO14" s="3">
        <v>-300</v>
      </c>
      <c r="AQ14" s="28">
        <v>50</v>
      </c>
      <c r="AR14" s="3">
        <v>50</v>
      </c>
      <c r="AT14" s="28"/>
      <c r="AW14" s="29">
        <v>41146</v>
      </c>
      <c r="AX14" s="29">
        <v>41146</v>
      </c>
      <c r="AY14" s="28">
        <v>250</v>
      </c>
      <c r="AZ14" s="28">
        <v>-600</v>
      </c>
    </row>
    <row r="15" spans="1:52">
      <c r="A15" s="17">
        <v>40660</v>
      </c>
      <c r="D15" s="17">
        <v>40660</v>
      </c>
      <c r="G15" s="17">
        <v>40660</v>
      </c>
      <c r="AD15" s="3" t="s">
        <v>64</v>
      </c>
      <c r="AE15" s="29">
        <v>40857</v>
      </c>
      <c r="AF15" s="30">
        <f t="shared" si="0"/>
        <v>40857</v>
      </c>
      <c r="AG15" s="30"/>
      <c r="AH15" s="29">
        <v>40857</v>
      </c>
      <c r="AI15" s="30">
        <f t="shared" si="1"/>
        <v>40857</v>
      </c>
      <c r="AJ15" s="30"/>
      <c r="AK15" s="28">
        <v>250</v>
      </c>
      <c r="AL15" s="28">
        <v>-600</v>
      </c>
      <c r="AN15" s="3">
        <v>50</v>
      </c>
      <c r="AO15" s="3">
        <f>AL15</f>
        <v>-600</v>
      </c>
      <c r="AQ15" s="28"/>
      <c r="AT15" s="28"/>
      <c r="AW15" s="29"/>
      <c r="AX15" s="29"/>
      <c r="AY15" s="28"/>
      <c r="AZ15" s="28"/>
    </row>
    <row r="16" spans="1:52">
      <c r="A16" s="17">
        <v>40661</v>
      </c>
      <c r="B16" s="12">
        <v>0</v>
      </c>
      <c r="D16" s="17">
        <v>40661</v>
      </c>
      <c r="E16" s="12">
        <v>0</v>
      </c>
      <c r="G16" s="17">
        <v>40661</v>
      </c>
      <c r="AC16" s="3" t="s">
        <v>65</v>
      </c>
      <c r="AE16" s="29">
        <v>40877</v>
      </c>
      <c r="AF16" s="30">
        <f t="shared" si="0"/>
        <v>40877</v>
      </c>
      <c r="AG16" s="30"/>
      <c r="AH16" s="29">
        <v>40877</v>
      </c>
      <c r="AI16" s="30">
        <f t="shared" si="1"/>
        <v>40877</v>
      </c>
      <c r="AJ16" s="30"/>
      <c r="AK16" s="28">
        <v>250</v>
      </c>
      <c r="AL16" s="28">
        <v>-600</v>
      </c>
      <c r="AN16" s="3">
        <v>50</v>
      </c>
      <c r="AO16" s="3">
        <f>AL16</f>
        <v>-600</v>
      </c>
      <c r="AQ16" s="28"/>
      <c r="AT16" s="28"/>
      <c r="AW16" s="29">
        <v>41146</v>
      </c>
      <c r="AX16" s="29">
        <v>41146</v>
      </c>
      <c r="AY16" s="28">
        <v>250</v>
      </c>
      <c r="AZ16" s="28">
        <v>-600</v>
      </c>
    </row>
    <row r="17" spans="1:52">
      <c r="A17" s="17">
        <v>40668</v>
      </c>
      <c r="B17" s="12">
        <v>0</v>
      </c>
      <c r="D17" s="17">
        <v>40668</v>
      </c>
      <c r="E17" s="12">
        <v>1</v>
      </c>
      <c r="G17" s="17">
        <v>40668</v>
      </c>
      <c r="AC17" s="3" t="s">
        <v>66</v>
      </c>
      <c r="AE17" s="29">
        <v>40877</v>
      </c>
      <c r="AF17" s="30">
        <f t="shared" si="0"/>
        <v>40877</v>
      </c>
      <c r="AG17" s="30"/>
      <c r="AH17" s="29">
        <v>40907</v>
      </c>
      <c r="AI17" s="30">
        <f t="shared" si="1"/>
        <v>40907</v>
      </c>
      <c r="AJ17" s="30"/>
      <c r="AK17" s="28">
        <v>250</v>
      </c>
      <c r="AL17" s="28">
        <v>-600</v>
      </c>
      <c r="AN17" s="3">
        <v>-65</v>
      </c>
      <c r="AO17" s="3">
        <f>AL17</f>
        <v>-600</v>
      </c>
      <c r="AQ17" s="28"/>
      <c r="AT17" s="28"/>
      <c r="AW17" s="29"/>
      <c r="AX17" s="29"/>
      <c r="AY17" s="28"/>
      <c r="AZ17" s="28"/>
    </row>
    <row r="18" spans="1:52">
      <c r="A18" s="17">
        <v>40674</v>
      </c>
      <c r="B18" s="12">
        <v>0</v>
      </c>
      <c r="D18" s="17">
        <v>40674</v>
      </c>
      <c r="E18" s="12">
        <v>0</v>
      </c>
      <c r="G18" s="17">
        <v>40674</v>
      </c>
      <c r="H18" s="12">
        <v>-0.1</v>
      </c>
      <c r="AC18" s="3" t="s">
        <v>67</v>
      </c>
      <c r="AD18" s="3" t="s">
        <v>68</v>
      </c>
      <c r="AE18" s="29">
        <v>40894</v>
      </c>
      <c r="AF18" s="30">
        <f t="shared" si="0"/>
        <v>40894</v>
      </c>
      <c r="AG18" s="30"/>
      <c r="AH18" s="29">
        <v>40896</v>
      </c>
      <c r="AI18" s="30">
        <f t="shared" si="1"/>
        <v>40896</v>
      </c>
      <c r="AJ18" s="30"/>
      <c r="AK18" s="28">
        <v>50</v>
      </c>
      <c r="AL18" s="28">
        <v>-500</v>
      </c>
      <c r="AN18" s="3">
        <f>AK18</f>
        <v>50</v>
      </c>
      <c r="AO18" s="3">
        <f>AL18</f>
        <v>-500</v>
      </c>
      <c r="AQ18" s="28">
        <v>-50</v>
      </c>
      <c r="AR18" s="3">
        <f>AQ18</f>
        <v>-50</v>
      </c>
      <c r="AT18" s="28"/>
      <c r="AW18" s="29">
        <v>41146</v>
      </c>
      <c r="AX18" s="29">
        <v>41146</v>
      </c>
      <c r="AY18" s="28">
        <v>250</v>
      </c>
      <c r="AZ18" s="28">
        <v>-600</v>
      </c>
    </row>
    <row r="19" spans="1:52">
      <c r="A19" s="17">
        <v>40681</v>
      </c>
      <c r="B19" s="12">
        <v>0</v>
      </c>
      <c r="D19" s="17">
        <v>40681</v>
      </c>
      <c r="E19" s="12">
        <v>2</v>
      </c>
      <c r="G19" s="17">
        <v>40681</v>
      </c>
      <c r="H19" s="12">
        <v>-3</v>
      </c>
      <c r="AD19" s="3" t="s">
        <v>69</v>
      </c>
      <c r="AE19" s="29">
        <v>40924</v>
      </c>
      <c r="AF19" s="30">
        <f t="shared" si="0"/>
        <v>40924</v>
      </c>
      <c r="AG19" s="30"/>
      <c r="AH19" s="29">
        <v>40952</v>
      </c>
      <c r="AI19" s="30">
        <f t="shared" si="1"/>
        <v>40952</v>
      </c>
      <c r="AJ19" s="30"/>
      <c r="AK19" s="28">
        <v>50</v>
      </c>
      <c r="AL19" s="28">
        <v>-600</v>
      </c>
      <c r="AN19" s="3">
        <v>50</v>
      </c>
      <c r="AO19" s="3">
        <v>-600</v>
      </c>
      <c r="AQ19" s="28">
        <v>-50</v>
      </c>
      <c r="AR19" s="3">
        <f>AQ19</f>
        <v>-50</v>
      </c>
      <c r="AT19" s="28"/>
      <c r="AW19" s="29">
        <v>41146</v>
      </c>
      <c r="AX19" s="29">
        <v>41146</v>
      </c>
      <c r="AY19" s="28">
        <v>250</v>
      </c>
      <c r="AZ19" s="28">
        <v>-600</v>
      </c>
    </row>
    <row r="20" spans="1:52">
      <c r="A20" s="17">
        <v>40686</v>
      </c>
      <c r="B20" s="12">
        <v>0</v>
      </c>
      <c r="D20" s="17">
        <v>40686</v>
      </c>
      <c r="E20" s="12">
        <v>-1</v>
      </c>
      <c r="G20" s="17">
        <v>40686</v>
      </c>
      <c r="H20" s="12">
        <v>-2</v>
      </c>
      <c r="AD20" s="3" t="s">
        <v>70</v>
      </c>
      <c r="AE20" s="29">
        <v>41040</v>
      </c>
      <c r="AF20" s="30">
        <f t="shared" si="0"/>
        <v>41040</v>
      </c>
      <c r="AG20" s="30"/>
      <c r="AH20" s="29">
        <v>41060</v>
      </c>
      <c r="AI20" s="30">
        <f t="shared" si="1"/>
        <v>41060</v>
      </c>
      <c r="AJ20" s="30"/>
      <c r="AK20" s="28">
        <v>50</v>
      </c>
      <c r="AL20" s="28">
        <v>-600</v>
      </c>
      <c r="AN20" s="3">
        <v>50</v>
      </c>
      <c r="AO20" s="3">
        <v>-600</v>
      </c>
      <c r="AQ20" s="28">
        <v>-50</v>
      </c>
      <c r="AR20" s="3">
        <f>AQ20</f>
        <v>-50</v>
      </c>
      <c r="AT20" s="28"/>
      <c r="AW20" s="29">
        <v>41146</v>
      </c>
      <c r="AX20" s="29">
        <v>41146</v>
      </c>
      <c r="AY20" s="28">
        <v>250</v>
      </c>
      <c r="AZ20" s="28">
        <v>-600</v>
      </c>
    </row>
    <row r="21" spans="1:52">
      <c r="A21" s="17">
        <v>40688</v>
      </c>
      <c r="B21" s="12">
        <v>0</v>
      </c>
      <c r="D21" s="17">
        <v>40688</v>
      </c>
      <c r="E21" s="12">
        <v>-3</v>
      </c>
      <c r="G21" s="17">
        <v>40688</v>
      </c>
      <c r="H21" s="12">
        <v>-3</v>
      </c>
      <c r="O21" s="31"/>
      <c r="AC21" s="3" t="s">
        <v>71</v>
      </c>
      <c r="AE21" s="29">
        <v>40998</v>
      </c>
      <c r="AF21" s="30">
        <f t="shared" si="0"/>
        <v>40998</v>
      </c>
      <c r="AG21" s="30"/>
      <c r="AH21" s="29">
        <v>41146</v>
      </c>
      <c r="AI21" s="30">
        <f t="shared" si="1"/>
        <v>41146</v>
      </c>
      <c r="AJ21" s="30"/>
      <c r="AK21" s="28">
        <v>250</v>
      </c>
      <c r="AL21" s="28">
        <v>-600</v>
      </c>
      <c r="AN21" s="3">
        <f>AK21</f>
        <v>250</v>
      </c>
      <c r="AO21" s="3">
        <f>AL21</f>
        <v>-600</v>
      </c>
      <c r="AQ21" s="28"/>
      <c r="AT21" s="28"/>
      <c r="AW21" s="29">
        <v>41146</v>
      </c>
      <c r="AX21" s="29">
        <v>41146</v>
      </c>
      <c r="AY21" s="28">
        <v>250</v>
      </c>
      <c r="AZ21" s="28">
        <v>-600</v>
      </c>
    </row>
    <row r="22" spans="1:52">
      <c r="A22" s="17">
        <v>40690</v>
      </c>
      <c r="B22" s="12">
        <v>0</v>
      </c>
      <c r="D22" s="17">
        <v>40690</v>
      </c>
      <c r="E22" s="12">
        <v>-3</v>
      </c>
      <c r="G22" s="17">
        <v>40690</v>
      </c>
      <c r="H22" s="12">
        <v>-3</v>
      </c>
      <c r="AE22" s="29"/>
      <c r="AF22" s="30"/>
      <c r="AG22" s="30"/>
      <c r="AH22" s="29"/>
      <c r="AI22" s="30"/>
      <c r="AJ22" s="30"/>
      <c r="AK22" s="28"/>
      <c r="AL22" s="28"/>
      <c r="AQ22" s="28"/>
      <c r="AT22" s="28"/>
      <c r="AY22" s="28"/>
      <c r="AZ22" s="28"/>
    </row>
    <row r="23" spans="1:52">
      <c r="A23" s="17">
        <v>40693</v>
      </c>
      <c r="B23" s="12">
        <v>0</v>
      </c>
      <c r="D23" s="17">
        <v>40693</v>
      </c>
      <c r="E23" s="12">
        <v>-3</v>
      </c>
      <c r="G23" s="17">
        <v>40693</v>
      </c>
      <c r="H23" s="12">
        <v>-4</v>
      </c>
      <c r="AC23" s="3" t="s">
        <v>56</v>
      </c>
      <c r="AE23" s="29"/>
      <c r="AF23" s="30"/>
      <c r="AG23" s="30"/>
      <c r="AH23" s="29"/>
      <c r="AI23" s="30"/>
      <c r="AJ23" s="30"/>
      <c r="AK23" s="28"/>
      <c r="AL23" s="28"/>
      <c r="AQ23" s="28"/>
      <c r="AT23" s="28"/>
      <c r="AY23" s="28"/>
      <c r="AZ23" s="28"/>
    </row>
    <row r="24" spans="1:52">
      <c r="A24" s="17">
        <v>40695</v>
      </c>
      <c r="B24" s="12">
        <v>-3</v>
      </c>
      <c r="D24" s="17">
        <v>40695</v>
      </c>
      <c r="E24" s="12">
        <v>-12</v>
      </c>
      <c r="G24" s="17">
        <v>40695</v>
      </c>
      <c r="H24" s="12">
        <v>-35</v>
      </c>
      <c r="AC24" s="32" t="s">
        <v>72</v>
      </c>
      <c r="AE24" s="28"/>
      <c r="AH24" s="28"/>
      <c r="AK24" s="28"/>
      <c r="AL24" s="28"/>
      <c r="AQ24" s="28"/>
      <c r="AT24" s="28"/>
      <c r="AW24" s="3" t="s">
        <v>73</v>
      </c>
      <c r="AY24" s="28"/>
      <c r="AZ24" s="28"/>
    </row>
    <row r="25" spans="1:52">
      <c r="A25" s="17">
        <v>40697</v>
      </c>
      <c r="B25" s="12">
        <v>-6</v>
      </c>
      <c r="D25" s="17">
        <v>40697</v>
      </c>
      <c r="E25" s="12">
        <v>-15</v>
      </c>
      <c r="G25" s="17">
        <v>40697</v>
      </c>
      <c r="H25" s="12">
        <v>-51</v>
      </c>
      <c r="AC25" s="3" t="s">
        <v>74</v>
      </c>
      <c r="AE25" s="29">
        <v>41071</v>
      </c>
      <c r="AF25" s="30">
        <f>AE25</f>
        <v>41071</v>
      </c>
      <c r="AG25" s="30"/>
      <c r="AH25" s="29">
        <v>41108</v>
      </c>
      <c r="AI25" s="30">
        <f>AH25</f>
        <v>41108</v>
      </c>
      <c r="AJ25" s="30"/>
      <c r="AK25" s="28">
        <v>250</v>
      </c>
      <c r="AL25" s="28">
        <v>-600</v>
      </c>
      <c r="AN25" s="3">
        <f t="shared" ref="AN25:AO27" si="2">AK25</f>
        <v>250</v>
      </c>
      <c r="AO25" s="3">
        <f t="shared" si="2"/>
        <v>-600</v>
      </c>
      <c r="AQ25" s="28">
        <v>150</v>
      </c>
      <c r="AR25" s="3">
        <f>AQ25</f>
        <v>150</v>
      </c>
      <c r="AT25" s="28"/>
      <c r="AW25" s="29">
        <v>41146</v>
      </c>
      <c r="AX25" s="29">
        <v>41146</v>
      </c>
      <c r="AY25" s="28">
        <v>250</v>
      </c>
      <c r="AZ25" s="28">
        <v>-600</v>
      </c>
    </row>
    <row r="26" spans="1:52">
      <c r="A26" s="17">
        <v>40700</v>
      </c>
      <c r="B26" s="12">
        <v>-16</v>
      </c>
      <c r="D26" s="17">
        <v>40700</v>
      </c>
      <c r="E26" s="12">
        <v>-19</v>
      </c>
      <c r="G26" s="17">
        <v>40700</v>
      </c>
      <c r="H26" s="12">
        <v>-64</v>
      </c>
      <c r="AC26" s="3" t="s">
        <v>75</v>
      </c>
      <c r="AE26" s="30">
        <f>AE41</f>
        <v>40885</v>
      </c>
      <c r="AF26" s="30">
        <f>AE26</f>
        <v>40885</v>
      </c>
      <c r="AG26" s="30"/>
      <c r="AH26" s="30">
        <f>AH41</f>
        <v>41060</v>
      </c>
      <c r="AI26" s="30">
        <f>AH26</f>
        <v>41060</v>
      </c>
      <c r="AJ26" s="30"/>
      <c r="AK26" s="28">
        <v>250</v>
      </c>
      <c r="AL26" s="28">
        <v>-600</v>
      </c>
      <c r="AN26" s="3">
        <f t="shared" si="2"/>
        <v>250</v>
      </c>
      <c r="AO26" s="3">
        <f t="shared" si="2"/>
        <v>-600</v>
      </c>
      <c r="AQ26" s="28">
        <v>150</v>
      </c>
      <c r="AR26" s="3">
        <f>AQ26</f>
        <v>150</v>
      </c>
      <c r="AT26" s="28"/>
      <c r="AW26" s="29">
        <v>41146</v>
      </c>
      <c r="AX26" s="29">
        <v>41146</v>
      </c>
      <c r="AY26" s="28">
        <v>250</v>
      </c>
      <c r="AZ26" s="28">
        <v>-600</v>
      </c>
    </row>
    <row r="27" spans="1:52">
      <c r="A27" s="17">
        <v>40701</v>
      </c>
      <c r="B27" s="12">
        <v>-19</v>
      </c>
      <c r="D27" s="17">
        <v>40701</v>
      </c>
      <c r="E27" s="12">
        <v>-22</v>
      </c>
      <c r="G27" s="17">
        <v>40701</v>
      </c>
      <c r="H27" s="12">
        <v>-62</v>
      </c>
      <c r="AC27" s="3" t="s">
        <v>76</v>
      </c>
      <c r="AE27" s="29">
        <v>40912</v>
      </c>
      <c r="AF27" s="30">
        <f>AE27</f>
        <v>40912</v>
      </c>
      <c r="AG27" s="30"/>
      <c r="AH27" s="29">
        <v>41051</v>
      </c>
      <c r="AI27" s="30">
        <f>AH27</f>
        <v>41051</v>
      </c>
      <c r="AJ27" s="30"/>
      <c r="AK27" s="28">
        <v>250</v>
      </c>
      <c r="AL27" s="28">
        <v>-600</v>
      </c>
      <c r="AN27" s="3">
        <f t="shared" si="2"/>
        <v>250</v>
      </c>
      <c r="AO27" s="3">
        <f t="shared" si="2"/>
        <v>-600</v>
      </c>
      <c r="AQ27" s="28">
        <v>75</v>
      </c>
      <c r="AR27" s="3">
        <f>AQ27</f>
        <v>75</v>
      </c>
      <c r="AT27" s="29">
        <v>41146</v>
      </c>
      <c r="AW27" s="29">
        <v>41146</v>
      </c>
      <c r="AX27" s="29">
        <v>41146</v>
      </c>
      <c r="AY27" s="28">
        <v>250</v>
      </c>
      <c r="AZ27" s="28">
        <v>-600</v>
      </c>
    </row>
    <row r="28" spans="1:52">
      <c r="A28" s="17">
        <v>40702</v>
      </c>
      <c r="B28" s="12">
        <v>-20</v>
      </c>
      <c r="D28" s="17">
        <v>40702</v>
      </c>
      <c r="E28" s="12">
        <v>-24</v>
      </c>
      <c r="G28" s="17">
        <v>40702</v>
      </c>
      <c r="H28" s="12">
        <v>-69</v>
      </c>
      <c r="AE28" s="28"/>
      <c r="AH28" s="28"/>
      <c r="AK28" s="28"/>
      <c r="AL28" s="28"/>
      <c r="AQ28" s="28"/>
      <c r="AT28" s="28"/>
      <c r="AY28" s="28"/>
      <c r="AZ28" s="28"/>
    </row>
    <row r="29" spans="1:52">
      <c r="A29" s="17">
        <v>40703</v>
      </c>
      <c r="B29" s="12">
        <v>-20</v>
      </c>
      <c r="D29" s="17">
        <v>40703</v>
      </c>
      <c r="E29" s="12">
        <v>-26</v>
      </c>
      <c r="G29" s="17">
        <v>40703</v>
      </c>
      <c r="H29" s="12">
        <v>-72</v>
      </c>
      <c r="AC29" s="32" t="s">
        <v>77</v>
      </c>
      <c r="AE29" s="28"/>
      <c r="AH29" s="28"/>
      <c r="AK29" s="28"/>
      <c r="AL29" s="28"/>
      <c r="AQ29" s="28"/>
      <c r="AT29" s="28"/>
      <c r="AW29" s="3" t="s">
        <v>78</v>
      </c>
      <c r="AY29" s="28"/>
      <c r="AZ29" s="28"/>
    </row>
    <row r="30" spans="1:52">
      <c r="A30" s="17">
        <v>40704</v>
      </c>
      <c r="B30" s="12">
        <v>-17</v>
      </c>
      <c r="D30" s="17">
        <v>40704</v>
      </c>
      <c r="E30" s="12">
        <v>-27</v>
      </c>
      <c r="G30" s="17">
        <v>40704</v>
      </c>
      <c r="H30" s="12">
        <v>-74</v>
      </c>
      <c r="AC30" s="3" t="s">
        <v>79</v>
      </c>
      <c r="AE30" s="29">
        <v>41071</v>
      </c>
      <c r="AF30" s="30">
        <f>AE30</f>
        <v>41071</v>
      </c>
      <c r="AG30" s="30"/>
      <c r="AH30" s="29">
        <v>41108</v>
      </c>
      <c r="AI30" s="30">
        <f>AH30</f>
        <v>41108</v>
      </c>
      <c r="AJ30" s="30"/>
      <c r="AK30" s="28">
        <v>250</v>
      </c>
      <c r="AL30" s="28">
        <v>-600</v>
      </c>
      <c r="AN30" s="3">
        <f t="shared" ref="AN30:AO32" si="3">AK30</f>
        <v>250</v>
      </c>
      <c r="AO30" s="3">
        <f t="shared" si="3"/>
        <v>-600</v>
      </c>
      <c r="AQ30" s="28">
        <v>100</v>
      </c>
      <c r="AR30" s="3">
        <f>AQ30</f>
        <v>100</v>
      </c>
      <c r="AT30" s="28"/>
      <c r="AW30" s="29">
        <v>41146</v>
      </c>
      <c r="AX30" s="29">
        <v>41146</v>
      </c>
      <c r="AY30" s="28">
        <v>250</v>
      </c>
      <c r="AZ30" s="28">
        <v>-600</v>
      </c>
    </row>
    <row r="31" spans="1:52">
      <c r="A31" s="17">
        <v>40705</v>
      </c>
      <c r="B31" s="12">
        <v>-21</v>
      </c>
      <c r="D31" s="17">
        <v>40705</v>
      </c>
      <c r="E31" s="12">
        <v>-28.020000000000003</v>
      </c>
      <c r="G31" s="17">
        <v>40705</v>
      </c>
      <c r="H31" s="12">
        <v>-73.7</v>
      </c>
      <c r="AC31" s="3" t="s">
        <v>80</v>
      </c>
      <c r="AE31" s="30">
        <f>AE41</f>
        <v>40885</v>
      </c>
      <c r="AF31" s="30">
        <f>AE31</f>
        <v>40885</v>
      </c>
      <c r="AG31" s="30"/>
      <c r="AH31" s="30">
        <f>AH41</f>
        <v>41060</v>
      </c>
      <c r="AI31" s="30">
        <f>AH31</f>
        <v>41060</v>
      </c>
      <c r="AJ31" s="30"/>
      <c r="AK31" s="28">
        <v>250</v>
      </c>
      <c r="AL31" s="28">
        <v>-600</v>
      </c>
      <c r="AN31" s="3">
        <f t="shared" si="3"/>
        <v>250</v>
      </c>
      <c r="AO31" s="3">
        <f t="shared" si="3"/>
        <v>-600</v>
      </c>
      <c r="AQ31" s="28">
        <v>100</v>
      </c>
      <c r="AR31" s="3">
        <f>AQ31</f>
        <v>100</v>
      </c>
      <c r="AT31" s="28"/>
      <c r="AW31" s="29">
        <v>41146</v>
      </c>
      <c r="AX31" s="29">
        <v>41146</v>
      </c>
      <c r="AY31" s="28">
        <v>250</v>
      </c>
      <c r="AZ31" s="28">
        <v>-600</v>
      </c>
    </row>
    <row r="32" spans="1:52">
      <c r="A32" s="17">
        <v>40706</v>
      </c>
      <c r="B32" s="12">
        <v>-19.799999999999997</v>
      </c>
      <c r="D32" s="17">
        <v>40706</v>
      </c>
      <c r="E32" s="12">
        <v>-27.9</v>
      </c>
      <c r="G32" s="17">
        <v>40706</v>
      </c>
      <c r="H32" s="12">
        <v>-72.400000000000006</v>
      </c>
      <c r="AC32" s="3" t="s">
        <v>81</v>
      </c>
      <c r="AE32" s="29">
        <v>40998</v>
      </c>
      <c r="AF32" s="30">
        <f>AE32</f>
        <v>40998</v>
      </c>
      <c r="AG32" s="30"/>
      <c r="AH32" s="29">
        <v>41065</v>
      </c>
      <c r="AI32" s="30">
        <f>AH32</f>
        <v>41065</v>
      </c>
      <c r="AJ32" s="30"/>
      <c r="AK32" s="28">
        <v>250</v>
      </c>
      <c r="AL32" s="28">
        <v>-600</v>
      </c>
      <c r="AN32" s="3">
        <f t="shared" si="3"/>
        <v>250</v>
      </c>
      <c r="AO32" s="3">
        <f t="shared" si="3"/>
        <v>-600</v>
      </c>
      <c r="AQ32" s="28">
        <v>50</v>
      </c>
      <c r="AR32" s="3">
        <f>AQ32</f>
        <v>50</v>
      </c>
      <c r="AT32" s="29">
        <v>41146</v>
      </c>
      <c r="AW32" s="29">
        <v>41146</v>
      </c>
      <c r="AX32" s="29">
        <v>41146</v>
      </c>
      <c r="AY32" s="28">
        <v>250</v>
      </c>
      <c r="AZ32" s="28">
        <v>-600</v>
      </c>
    </row>
    <row r="33" spans="1:52">
      <c r="A33" s="17">
        <v>40707</v>
      </c>
      <c r="B33" s="12">
        <v>-31.799999999999997</v>
      </c>
      <c r="D33" s="17">
        <v>40707</v>
      </c>
      <c r="E33" s="12">
        <v>-27.299999999999997</v>
      </c>
      <c r="G33" s="17">
        <v>40707</v>
      </c>
      <c r="H33" s="12">
        <v>-82.4</v>
      </c>
      <c r="AE33" s="28"/>
      <c r="AH33" s="28"/>
      <c r="AK33" s="28"/>
      <c r="AL33" s="28"/>
      <c r="AQ33" s="28"/>
      <c r="AT33" s="28"/>
      <c r="AY33" s="28"/>
      <c r="AZ33" s="28"/>
    </row>
    <row r="34" spans="1:52">
      <c r="A34" s="17">
        <v>40708</v>
      </c>
      <c r="B34" s="12">
        <v>-33.799999999999997</v>
      </c>
      <c r="D34" s="17">
        <v>40708</v>
      </c>
      <c r="E34" s="12">
        <v>-26.6</v>
      </c>
      <c r="G34" s="17">
        <v>40708</v>
      </c>
      <c r="H34" s="12">
        <v>-87.4</v>
      </c>
      <c r="AC34" s="32" t="s">
        <v>82</v>
      </c>
      <c r="AE34" s="28"/>
      <c r="AH34" s="28"/>
      <c r="AK34" s="28"/>
      <c r="AL34" s="28"/>
      <c r="AQ34" s="28"/>
      <c r="AT34" s="28"/>
      <c r="AW34" s="3" t="s">
        <v>83</v>
      </c>
      <c r="AY34" s="28"/>
      <c r="AZ34" s="28"/>
    </row>
    <row r="35" spans="1:52">
      <c r="A35" s="17">
        <v>40709</v>
      </c>
      <c r="B35" s="12">
        <v>-37.400000000000006</v>
      </c>
      <c r="D35" s="17">
        <v>40709</v>
      </c>
      <c r="E35" s="12">
        <v>-25.9</v>
      </c>
      <c r="G35" s="17">
        <v>40709</v>
      </c>
      <c r="H35" s="12">
        <v>-93.2</v>
      </c>
      <c r="AC35" s="3" t="s">
        <v>84</v>
      </c>
      <c r="AE35" s="29">
        <v>40940</v>
      </c>
      <c r="AF35" s="30">
        <f>AE35</f>
        <v>40940</v>
      </c>
      <c r="AG35" s="30"/>
      <c r="AH35" s="29">
        <v>41051</v>
      </c>
      <c r="AI35" s="30">
        <f>AH35</f>
        <v>41051</v>
      </c>
      <c r="AJ35" s="30"/>
      <c r="AK35" s="28">
        <v>250</v>
      </c>
      <c r="AL35" s="28">
        <v>-600</v>
      </c>
      <c r="AN35" s="3">
        <f t="shared" ref="AN35:AO37" si="4">AK35</f>
        <v>250</v>
      </c>
      <c r="AO35" s="3">
        <f t="shared" si="4"/>
        <v>-600</v>
      </c>
      <c r="AQ35" s="28">
        <v>125</v>
      </c>
      <c r="AR35" s="3">
        <v>125</v>
      </c>
      <c r="AT35" s="28"/>
      <c r="AW35" s="29">
        <v>41146</v>
      </c>
      <c r="AX35" s="29">
        <v>41146</v>
      </c>
      <c r="AY35" s="28">
        <v>250</v>
      </c>
      <c r="AZ35" s="28">
        <v>-600</v>
      </c>
    </row>
    <row r="36" spans="1:52">
      <c r="A36" s="17">
        <v>40710</v>
      </c>
      <c r="B36" s="12">
        <v>-35.900000000000006</v>
      </c>
      <c r="D36" s="17">
        <v>40710</v>
      </c>
      <c r="E36" s="12">
        <v>-32.6</v>
      </c>
      <c r="G36" s="17">
        <v>40710</v>
      </c>
      <c r="H36" s="12">
        <v>-93.2</v>
      </c>
      <c r="AC36" s="3" t="s">
        <v>85</v>
      </c>
      <c r="AE36" s="30">
        <f>AE41</f>
        <v>40885</v>
      </c>
      <c r="AF36" s="30">
        <f>AE36</f>
        <v>40885</v>
      </c>
      <c r="AG36" s="30"/>
      <c r="AH36" s="30">
        <f>AH41</f>
        <v>41060</v>
      </c>
      <c r="AI36" s="30">
        <f>AH36</f>
        <v>41060</v>
      </c>
      <c r="AJ36" s="30"/>
      <c r="AK36" s="28">
        <v>250</v>
      </c>
      <c r="AL36" s="28">
        <v>-600</v>
      </c>
      <c r="AN36" s="3">
        <f t="shared" si="4"/>
        <v>250</v>
      </c>
      <c r="AO36" s="3">
        <f t="shared" si="4"/>
        <v>-600</v>
      </c>
      <c r="AQ36" s="28">
        <v>50</v>
      </c>
      <c r="AR36" s="3">
        <v>50</v>
      </c>
      <c r="AT36" s="28"/>
      <c r="AW36" s="29">
        <v>41146</v>
      </c>
      <c r="AX36" s="29">
        <v>41146</v>
      </c>
      <c r="AY36" s="28">
        <v>250</v>
      </c>
      <c r="AZ36" s="28">
        <v>-600</v>
      </c>
    </row>
    <row r="37" spans="1:52">
      <c r="A37" s="17">
        <v>40711</v>
      </c>
      <c r="B37" s="12">
        <v>-44</v>
      </c>
      <c r="D37" s="17">
        <v>40711</v>
      </c>
      <c r="E37" s="12">
        <v>-41</v>
      </c>
      <c r="G37" s="17">
        <v>40711</v>
      </c>
      <c r="H37" s="12">
        <v>-102.6</v>
      </c>
      <c r="O37" s="31"/>
      <c r="AC37" s="3" t="s">
        <v>86</v>
      </c>
      <c r="AE37" s="29">
        <v>41060</v>
      </c>
      <c r="AF37" s="30">
        <f>AE37</f>
        <v>41060</v>
      </c>
      <c r="AG37" s="30"/>
      <c r="AH37" s="29">
        <v>41102</v>
      </c>
      <c r="AI37" s="30">
        <f>AH37</f>
        <v>41102</v>
      </c>
      <c r="AJ37" s="30"/>
      <c r="AK37" s="28">
        <v>250</v>
      </c>
      <c r="AL37" s="28">
        <v>-600</v>
      </c>
      <c r="AN37" s="3">
        <f t="shared" si="4"/>
        <v>250</v>
      </c>
      <c r="AO37" s="3">
        <f t="shared" si="4"/>
        <v>-600</v>
      </c>
      <c r="AQ37" s="28">
        <v>0</v>
      </c>
      <c r="AR37" s="3">
        <v>0</v>
      </c>
      <c r="AT37" s="29">
        <v>41146</v>
      </c>
      <c r="AW37" s="29">
        <v>41146</v>
      </c>
      <c r="AX37" s="29">
        <v>41146</v>
      </c>
      <c r="AY37" s="28">
        <v>250</v>
      </c>
      <c r="AZ37" s="28">
        <v>-600</v>
      </c>
    </row>
    <row r="38" spans="1:52">
      <c r="A38" s="17">
        <v>40712</v>
      </c>
      <c r="B38" s="12">
        <v>-54.599999999999994</v>
      </c>
      <c r="D38" s="17">
        <v>40712</v>
      </c>
      <c r="E38" s="12">
        <v>-50</v>
      </c>
      <c r="G38" s="17">
        <v>40712</v>
      </c>
      <c r="H38" s="12">
        <v>-111.5</v>
      </c>
      <c r="AE38" s="28"/>
      <c r="AH38" s="28"/>
      <c r="AK38" s="28"/>
      <c r="AL38" s="28"/>
      <c r="AQ38" s="28"/>
      <c r="AT38" s="28"/>
      <c r="AY38" s="28"/>
      <c r="AZ38" s="28"/>
    </row>
    <row r="39" spans="1:52">
      <c r="A39" s="17">
        <v>40713</v>
      </c>
      <c r="B39" s="12">
        <v>-61.7</v>
      </c>
      <c r="D39" s="17">
        <v>40713</v>
      </c>
      <c r="E39" s="12">
        <v>-57.7</v>
      </c>
      <c r="G39" s="17">
        <v>40713</v>
      </c>
      <c r="H39" s="12">
        <v>-111.3</v>
      </c>
      <c r="O39" s="33"/>
      <c r="AC39" s="32" t="s">
        <v>87</v>
      </c>
      <c r="AE39" s="28"/>
      <c r="AH39" s="28"/>
      <c r="AK39" s="28"/>
      <c r="AL39" s="28"/>
      <c r="AQ39" s="28"/>
      <c r="AT39" s="28"/>
      <c r="AW39" s="3" t="s">
        <v>88</v>
      </c>
      <c r="AY39" s="28"/>
      <c r="AZ39" s="28"/>
    </row>
    <row r="40" spans="1:52">
      <c r="A40" s="17">
        <v>40714</v>
      </c>
      <c r="B40" s="12">
        <v>-62.7</v>
      </c>
      <c r="D40" s="17">
        <v>40714</v>
      </c>
      <c r="E40" s="16">
        <v>-40</v>
      </c>
      <c r="F40" s="16"/>
      <c r="G40" s="17">
        <v>40714</v>
      </c>
      <c r="H40" s="12">
        <v>-123.6</v>
      </c>
      <c r="AC40" s="3" t="s">
        <v>89</v>
      </c>
      <c r="AE40" s="29">
        <v>41071</v>
      </c>
      <c r="AF40" s="30">
        <f>AE40</f>
        <v>41071</v>
      </c>
      <c r="AG40" s="30"/>
      <c r="AH40" s="29">
        <v>41108</v>
      </c>
      <c r="AI40" s="30">
        <f>AH40</f>
        <v>41108</v>
      </c>
      <c r="AJ40" s="30"/>
      <c r="AK40" s="28">
        <v>250</v>
      </c>
      <c r="AL40" s="28">
        <v>-600</v>
      </c>
      <c r="AN40" s="3">
        <f t="shared" ref="AN40:AO42" si="5">AK40</f>
        <v>250</v>
      </c>
      <c r="AO40" s="3">
        <f t="shared" si="5"/>
        <v>-600</v>
      </c>
      <c r="AQ40" s="28">
        <v>100</v>
      </c>
      <c r="AR40" s="3">
        <f>AQ40</f>
        <v>100</v>
      </c>
      <c r="AT40" s="28"/>
      <c r="AW40" s="29">
        <v>41146</v>
      </c>
      <c r="AX40" s="29">
        <v>41146</v>
      </c>
      <c r="AY40" s="28">
        <v>250</v>
      </c>
      <c r="AZ40" s="28">
        <v>-600</v>
      </c>
    </row>
    <row r="41" spans="1:52">
      <c r="A41" s="17">
        <v>40715</v>
      </c>
      <c r="B41" s="12">
        <v>-62.900000000000006</v>
      </c>
      <c r="D41" s="17">
        <v>40715</v>
      </c>
      <c r="E41" s="12">
        <v>-64</v>
      </c>
      <c r="G41" s="17">
        <v>40715</v>
      </c>
      <c r="H41" s="12">
        <v>-122.9</v>
      </c>
      <c r="AC41" s="3" t="s">
        <v>90</v>
      </c>
      <c r="AE41" s="29">
        <v>40885</v>
      </c>
      <c r="AF41" s="30">
        <f>AE41</f>
        <v>40885</v>
      </c>
      <c r="AG41" s="30"/>
      <c r="AH41" s="29">
        <v>41060</v>
      </c>
      <c r="AI41" s="30">
        <f>AH41</f>
        <v>41060</v>
      </c>
      <c r="AJ41" s="30"/>
      <c r="AK41" s="28">
        <v>250</v>
      </c>
      <c r="AL41" s="28">
        <v>-600</v>
      </c>
      <c r="AN41" s="3">
        <f t="shared" si="5"/>
        <v>250</v>
      </c>
      <c r="AO41" s="3">
        <f t="shared" si="5"/>
        <v>-600</v>
      </c>
      <c r="AQ41" s="28">
        <v>100</v>
      </c>
      <c r="AR41" s="3">
        <f>AQ41</f>
        <v>100</v>
      </c>
      <c r="AT41" s="29">
        <v>41060</v>
      </c>
      <c r="AW41" s="29">
        <v>41146</v>
      </c>
      <c r="AX41" s="29">
        <v>41146</v>
      </c>
      <c r="AY41" s="28">
        <v>250</v>
      </c>
      <c r="AZ41" s="28">
        <v>-600</v>
      </c>
    </row>
    <row r="42" spans="1:52">
      <c r="A42" s="17">
        <v>40716</v>
      </c>
      <c r="B42" s="12">
        <v>-64.599999999999994</v>
      </c>
      <c r="D42" s="17">
        <v>40716</v>
      </c>
      <c r="E42" s="12">
        <v>-66.8</v>
      </c>
      <c r="G42" s="17">
        <v>40716</v>
      </c>
      <c r="H42" s="12">
        <v>-125.8</v>
      </c>
      <c r="AC42" s="3" t="s">
        <v>91</v>
      </c>
      <c r="AE42" s="29">
        <v>40988</v>
      </c>
      <c r="AF42" s="30">
        <f>AE42</f>
        <v>40988</v>
      </c>
      <c r="AG42" s="30"/>
      <c r="AH42" s="29">
        <v>41117</v>
      </c>
      <c r="AI42" s="30">
        <f>AH42</f>
        <v>41117</v>
      </c>
      <c r="AJ42" s="30"/>
      <c r="AK42" s="28">
        <v>250</v>
      </c>
      <c r="AL42" s="28">
        <v>-600</v>
      </c>
      <c r="AN42" s="3">
        <f t="shared" si="5"/>
        <v>250</v>
      </c>
      <c r="AO42" s="3">
        <f t="shared" si="5"/>
        <v>-600</v>
      </c>
      <c r="AQ42" s="28">
        <v>50</v>
      </c>
      <c r="AR42" s="3">
        <f>AQ42</f>
        <v>50</v>
      </c>
      <c r="AT42" s="29">
        <v>41146</v>
      </c>
      <c r="AW42" s="29">
        <v>41146</v>
      </c>
      <c r="AX42" s="29">
        <v>41146</v>
      </c>
      <c r="AY42" s="28">
        <v>250</v>
      </c>
      <c r="AZ42" s="28">
        <v>-600</v>
      </c>
    </row>
    <row r="43" spans="1:52">
      <c r="A43" s="17">
        <v>40717</v>
      </c>
      <c r="B43" s="12">
        <v>-68.3</v>
      </c>
      <c r="D43" s="17">
        <v>40717</v>
      </c>
      <c r="E43" s="12">
        <v>-70.400000000000006</v>
      </c>
      <c r="G43" s="17">
        <v>40717</v>
      </c>
      <c r="H43" s="12">
        <v>-126.7</v>
      </c>
      <c r="AQ43" s="28"/>
    </row>
    <row r="44" spans="1:52">
      <c r="A44" s="17">
        <v>40718</v>
      </c>
      <c r="B44" s="12">
        <v>-78.099999999999994</v>
      </c>
      <c r="D44" s="17">
        <v>40718</v>
      </c>
      <c r="E44" s="12">
        <v>-70.7</v>
      </c>
      <c r="G44" s="17">
        <v>40718</v>
      </c>
      <c r="H44" s="12">
        <v>-110.5</v>
      </c>
      <c r="O44" s="34"/>
      <c r="AQ44" s="28"/>
    </row>
    <row r="45" spans="1:52">
      <c r="A45" s="17">
        <v>40719</v>
      </c>
      <c r="B45" s="12">
        <v>-85.8</v>
      </c>
      <c r="D45" s="17">
        <v>40719</v>
      </c>
      <c r="E45" s="12">
        <v>-76</v>
      </c>
      <c r="G45" s="17">
        <v>40719</v>
      </c>
      <c r="H45" s="12">
        <v>-129</v>
      </c>
      <c r="AC45" s="3" t="s">
        <v>92</v>
      </c>
      <c r="AE45" s="30">
        <v>41146</v>
      </c>
      <c r="AF45" s="30">
        <f>AE45</f>
        <v>41146</v>
      </c>
      <c r="AH45" s="30">
        <v>41419</v>
      </c>
      <c r="AI45" s="30">
        <f>AH45</f>
        <v>41419</v>
      </c>
      <c r="AK45" s="28">
        <v>250</v>
      </c>
      <c r="AL45" s="28">
        <v>-600</v>
      </c>
      <c r="AN45" s="3">
        <f>AK45</f>
        <v>250</v>
      </c>
      <c r="AO45" s="3">
        <f>AL45</f>
        <v>-600</v>
      </c>
      <c r="AQ45" s="28"/>
    </row>
    <row r="46" spans="1:52">
      <c r="A46" s="17">
        <v>40720</v>
      </c>
      <c r="B46" s="12">
        <v>-89</v>
      </c>
      <c r="D46" s="17">
        <v>40720</v>
      </c>
      <c r="E46" s="12">
        <v>-95.5</v>
      </c>
      <c r="G46" s="17">
        <v>40720</v>
      </c>
      <c r="H46" s="12">
        <v>-130.6</v>
      </c>
      <c r="AE46" s="30"/>
      <c r="AF46" s="30"/>
      <c r="AH46" s="30"/>
      <c r="AI46" s="30"/>
      <c r="AK46" s="28"/>
      <c r="AL46" s="28"/>
      <c r="AQ46" s="28"/>
    </row>
    <row r="47" spans="1:52">
      <c r="A47" s="17">
        <v>40721</v>
      </c>
      <c r="B47" s="12">
        <v>-94</v>
      </c>
      <c r="D47" s="17">
        <v>40721</v>
      </c>
      <c r="E47" s="12">
        <v>-79</v>
      </c>
      <c r="G47" s="17">
        <v>40721</v>
      </c>
      <c r="H47" s="12">
        <v>-136</v>
      </c>
      <c r="AC47" s="3" t="s">
        <v>93</v>
      </c>
      <c r="AE47" s="30"/>
      <c r="AF47" s="30"/>
      <c r="AH47" s="30">
        <v>41554</v>
      </c>
      <c r="AI47" s="30">
        <f>AH47</f>
        <v>41554</v>
      </c>
      <c r="AK47" s="28">
        <v>250</v>
      </c>
      <c r="AL47" s="28">
        <v>-600</v>
      </c>
      <c r="AN47" s="3">
        <f>AK47</f>
        <v>250</v>
      </c>
      <c r="AO47" s="3">
        <f>AL47</f>
        <v>-600</v>
      </c>
      <c r="AQ47" s="28"/>
    </row>
    <row r="48" spans="1:52">
      <c r="A48" s="17">
        <v>40722</v>
      </c>
      <c r="B48" s="12">
        <v>-97</v>
      </c>
      <c r="D48" s="17">
        <v>40722</v>
      </c>
      <c r="E48" s="12">
        <v>-73</v>
      </c>
      <c r="G48" s="17">
        <v>40722</v>
      </c>
      <c r="H48" s="12">
        <v>-136</v>
      </c>
      <c r="AQ48" s="28"/>
    </row>
    <row r="49" spans="1:43">
      <c r="A49" s="17">
        <v>40723</v>
      </c>
      <c r="B49" s="12">
        <v>-102</v>
      </c>
      <c r="D49" s="17">
        <v>40723</v>
      </c>
      <c r="E49" s="12">
        <v>-81</v>
      </c>
      <c r="G49" s="17">
        <v>40723</v>
      </c>
      <c r="H49" s="12">
        <v>-142</v>
      </c>
      <c r="AQ49" s="28"/>
    </row>
    <row r="50" spans="1:43">
      <c r="A50" s="17">
        <v>40725</v>
      </c>
      <c r="B50" s="12">
        <v>-112</v>
      </c>
      <c r="D50" s="17">
        <v>40725</v>
      </c>
      <c r="E50" s="12">
        <v>-88.6</v>
      </c>
      <c r="G50" s="17">
        <v>40725</v>
      </c>
      <c r="H50" s="12">
        <v>-152</v>
      </c>
      <c r="AQ50" s="28"/>
    </row>
    <row r="51" spans="1:43">
      <c r="A51" s="17">
        <v>40726</v>
      </c>
      <c r="B51" s="12">
        <v>-115</v>
      </c>
      <c r="D51" s="17">
        <v>40726</v>
      </c>
      <c r="E51" s="12">
        <v>-81</v>
      </c>
      <c r="G51" s="17">
        <v>40726</v>
      </c>
      <c r="H51" s="12">
        <v>-160</v>
      </c>
      <c r="AC51" s="27" t="s">
        <v>94</v>
      </c>
      <c r="AQ51" s="28"/>
    </row>
    <row r="52" spans="1:43">
      <c r="A52" s="17">
        <v>40727</v>
      </c>
      <c r="B52" s="12">
        <v>-120</v>
      </c>
      <c r="D52" s="17">
        <v>40727</v>
      </c>
      <c r="E52" s="12">
        <v>-93</v>
      </c>
      <c r="G52" s="17">
        <v>40727</v>
      </c>
      <c r="H52" s="12">
        <v>-153</v>
      </c>
      <c r="AC52" s="3" t="s">
        <v>62</v>
      </c>
      <c r="AE52" s="29">
        <v>40688</v>
      </c>
      <c r="AF52" s="30">
        <v>40857</v>
      </c>
      <c r="AH52" s="3">
        <v>50</v>
      </c>
      <c r="AI52" s="3">
        <v>50</v>
      </c>
      <c r="AQ52" s="28"/>
    </row>
    <row r="53" spans="1:43">
      <c r="A53" s="17">
        <v>40728</v>
      </c>
      <c r="B53" s="12">
        <v>-128</v>
      </c>
      <c r="D53" s="17">
        <v>40728</v>
      </c>
      <c r="E53" s="12">
        <v>-90</v>
      </c>
      <c r="G53" s="17">
        <v>40728</v>
      </c>
      <c r="H53" s="12">
        <v>-166</v>
      </c>
      <c r="AC53" s="3" t="s">
        <v>95</v>
      </c>
      <c r="AE53" s="30">
        <v>40688</v>
      </c>
      <c r="AF53" s="30">
        <v>40815</v>
      </c>
      <c r="AH53" s="3">
        <v>-300</v>
      </c>
      <c r="AI53" s="3">
        <v>-300</v>
      </c>
      <c r="AQ53" s="28"/>
    </row>
    <row r="54" spans="1:43">
      <c r="A54" s="17">
        <v>40729</v>
      </c>
      <c r="B54" s="12">
        <v>-132</v>
      </c>
      <c r="D54" s="17">
        <v>40729</v>
      </c>
      <c r="E54" s="12">
        <v>-93</v>
      </c>
      <c r="G54" s="17">
        <v>40729</v>
      </c>
      <c r="H54" s="12">
        <v>-171</v>
      </c>
      <c r="AC54" s="3" t="s">
        <v>96</v>
      </c>
      <c r="AE54" s="30">
        <v>40815</v>
      </c>
      <c r="AF54" s="30">
        <v>40857</v>
      </c>
      <c r="AH54" s="3">
        <v>-300</v>
      </c>
      <c r="AI54" s="3">
        <v>-300</v>
      </c>
      <c r="AQ54" s="28"/>
    </row>
    <row r="55" spans="1:43">
      <c r="A55" s="17">
        <v>40730</v>
      </c>
      <c r="B55" s="12">
        <v>-132</v>
      </c>
      <c r="D55" s="17">
        <v>40730</v>
      </c>
      <c r="E55" s="12">
        <v>-90</v>
      </c>
      <c r="G55" s="17">
        <v>40730</v>
      </c>
      <c r="H55" s="12">
        <v>-173</v>
      </c>
      <c r="AC55" s="3" t="s">
        <v>97</v>
      </c>
      <c r="AE55" s="30">
        <v>40854</v>
      </c>
      <c r="AF55" s="30">
        <v>40879</v>
      </c>
      <c r="AH55" s="3">
        <v>50</v>
      </c>
      <c r="AI55" s="3">
        <v>50</v>
      </c>
      <c r="AQ55" s="28"/>
    </row>
    <row r="56" spans="1:43">
      <c r="A56" s="17">
        <v>40731</v>
      </c>
      <c r="B56" s="12">
        <v>-131</v>
      </c>
      <c r="D56" s="17">
        <v>40731</v>
      </c>
      <c r="E56" s="12">
        <v>-90</v>
      </c>
      <c r="G56" s="17">
        <v>40731</v>
      </c>
      <c r="H56" s="12">
        <v>-167</v>
      </c>
      <c r="AC56" s="3" t="s">
        <v>67</v>
      </c>
      <c r="AD56" s="3" t="s">
        <v>68</v>
      </c>
      <c r="AE56" s="29"/>
      <c r="AF56" s="30"/>
      <c r="AQ56" s="28"/>
    </row>
    <row r="57" spans="1:43">
      <c r="A57" s="17">
        <v>40732</v>
      </c>
      <c r="B57" s="12">
        <v>-132</v>
      </c>
      <c r="D57" s="17">
        <v>40732</v>
      </c>
      <c r="E57" s="12">
        <v>-94</v>
      </c>
      <c r="G57" s="17">
        <v>40732</v>
      </c>
      <c r="H57" s="12">
        <v>-156</v>
      </c>
      <c r="AD57" s="3" t="s">
        <v>69</v>
      </c>
      <c r="AE57" s="29">
        <v>40923</v>
      </c>
      <c r="AF57" s="30">
        <v>40953</v>
      </c>
      <c r="AH57" s="3">
        <v>50</v>
      </c>
      <c r="AI57" s="3">
        <v>50</v>
      </c>
      <c r="AQ57" s="28"/>
    </row>
    <row r="58" spans="1:43">
      <c r="A58" s="17">
        <v>40733</v>
      </c>
      <c r="B58" s="12">
        <v>-135</v>
      </c>
      <c r="D58" s="17">
        <v>40733</v>
      </c>
      <c r="E58" s="12">
        <v>-97</v>
      </c>
      <c r="G58" s="17">
        <v>40733</v>
      </c>
      <c r="H58" s="12">
        <v>-176</v>
      </c>
      <c r="AD58" s="3" t="s">
        <v>70</v>
      </c>
      <c r="AE58" s="29">
        <v>41038</v>
      </c>
      <c r="AF58" s="30">
        <v>41061</v>
      </c>
      <c r="AH58" s="3">
        <v>50</v>
      </c>
      <c r="AI58" s="3">
        <v>50</v>
      </c>
      <c r="AQ58" s="28"/>
    </row>
    <row r="59" spans="1:43">
      <c r="A59" s="17">
        <v>40735</v>
      </c>
      <c r="B59" s="12">
        <v>-137</v>
      </c>
      <c r="D59" s="17">
        <v>40735</v>
      </c>
      <c r="E59" s="12">
        <v>-92</v>
      </c>
      <c r="G59" s="17">
        <v>40735</v>
      </c>
      <c r="H59" s="12">
        <v>-175</v>
      </c>
      <c r="AC59" s="3" t="s">
        <v>66</v>
      </c>
      <c r="AE59" s="29">
        <v>40876</v>
      </c>
      <c r="AF59" s="30">
        <v>40908</v>
      </c>
      <c r="AH59" s="3">
        <v>-75</v>
      </c>
      <c r="AI59" s="3">
        <v>-75</v>
      </c>
      <c r="AQ59" s="28"/>
    </row>
    <row r="60" spans="1:43">
      <c r="A60" s="17">
        <v>40737</v>
      </c>
      <c r="B60" s="12">
        <v>-139</v>
      </c>
      <c r="D60" s="17">
        <v>40737</v>
      </c>
      <c r="E60" s="12">
        <v>-95</v>
      </c>
      <c r="G60" s="17">
        <v>40737</v>
      </c>
      <c r="H60" s="12">
        <v>-177</v>
      </c>
      <c r="AC60" s="3" t="s">
        <v>98</v>
      </c>
      <c r="AE60" s="30">
        <v>40907</v>
      </c>
      <c r="AF60" s="30">
        <v>41146</v>
      </c>
      <c r="AH60" s="3">
        <v>-500</v>
      </c>
      <c r="AI60" s="3">
        <v>-500</v>
      </c>
      <c r="AQ60" s="28"/>
    </row>
    <row r="61" spans="1:43">
      <c r="A61" s="17">
        <v>40739</v>
      </c>
      <c r="B61" s="12">
        <v>-142.80000000000001</v>
      </c>
      <c r="D61" s="17">
        <v>40739</v>
      </c>
      <c r="E61" s="16">
        <v>-95</v>
      </c>
      <c r="F61" s="16"/>
      <c r="G61" s="17">
        <v>40739</v>
      </c>
      <c r="H61" s="12">
        <v>-181.5</v>
      </c>
      <c r="AC61" s="35" t="s">
        <v>99</v>
      </c>
      <c r="AE61" s="29">
        <v>41146</v>
      </c>
      <c r="AF61" s="29">
        <v>41419</v>
      </c>
      <c r="AG61" s="28">
        <v>250</v>
      </c>
      <c r="AH61" s="28">
        <v>50</v>
      </c>
      <c r="AI61" s="3">
        <v>50</v>
      </c>
      <c r="AQ61" s="28"/>
    </row>
    <row r="62" spans="1:43">
      <c r="A62" s="17">
        <v>40743</v>
      </c>
      <c r="B62" s="12">
        <v>-145.4</v>
      </c>
      <c r="D62" s="17">
        <v>40741</v>
      </c>
      <c r="E62" s="12">
        <v>-101</v>
      </c>
      <c r="G62" s="17">
        <v>40743</v>
      </c>
      <c r="H62" s="12">
        <v>-185.2</v>
      </c>
      <c r="AC62" s="3" t="s">
        <v>100</v>
      </c>
      <c r="AE62" s="29">
        <v>41419</v>
      </c>
      <c r="AF62" s="30">
        <v>41554</v>
      </c>
      <c r="AH62" s="3">
        <v>50</v>
      </c>
      <c r="AI62" s="3">
        <v>50</v>
      </c>
      <c r="AQ62" s="28"/>
    </row>
    <row r="63" spans="1:43">
      <c r="A63" s="17">
        <v>40745</v>
      </c>
      <c r="B63" s="12">
        <v>-149.19999999999999</v>
      </c>
      <c r="D63" s="17">
        <v>40743</v>
      </c>
      <c r="E63" s="12">
        <v>-102</v>
      </c>
      <c r="G63" s="17">
        <v>40745</v>
      </c>
      <c r="H63" s="12">
        <v>-192.1</v>
      </c>
      <c r="AQ63" s="28"/>
    </row>
    <row r="64" spans="1:43">
      <c r="A64" s="17">
        <v>40747</v>
      </c>
      <c r="B64" s="12">
        <v>-149.5</v>
      </c>
      <c r="D64" s="17">
        <v>40745</v>
      </c>
      <c r="E64" s="12">
        <v>-95.9</v>
      </c>
      <c r="G64" s="17">
        <v>40747</v>
      </c>
      <c r="H64" s="12">
        <v>-192.9</v>
      </c>
      <c r="AQ64" s="28"/>
    </row>
    <row r="65" spans="1:43">
      <c r="A65" s="17">
        <v>40749</v>
      </c>
      <c r="B65" s="12">
        <v>-150.30000000000001</v>
      </c>
      <c r="D65" s="17">
        <v>40747</v>
      </c>
      <c r="E65" s="12">
        <v>-92.9</v>
      </c>
      <c r="G65" s="17">
        <v>40749</v>
      </c>
      <c r="H65" s="12">
        <v>-192.2</v>
      </c>
      <c r="AC65" s="27" t="s">
        <v>101</v>
      </c>
      <c r="AQ65" s="28"/>
    </row>
    <row r="66" spans="1:43">
      <c r="A66" s="17">
        <v>40751</v>
      </c>
      <c r="B66" s="12">
        <v>-150.69999999999999</v>
      </c>
      <c r="D66" s="17">
        <v>40749</v>
      </c>
      <c r="E66" s="12">
        <v>-94</v>
      </c>
      <c r="G66" s="17">
        <v>40751</v>
      </c>
      <c r="H66" s="12">
        <v>-195.6</v>
      </c>
      <c r="AC66" s="3" t="s">
        <v>62</v>
      </c>
      <c r="AE66" s="29">
        <v>40688</v>
      </c>
      <c r="AF66" s="30">
        <v>40857</v>
      </c>
      <c r="AH66" s="3">
        <v>50</v>
      </c>
      <c r="AI66" s="3">
        <v>50</v>
      </c>
      <c r="AQ66" s="28"/>
    </row>
    <row r="67" spans="1:43">
      <c r="A67" s="17">
        <v>40753</v>
      </c>
      <c r="B67" s="12">
        <v>-151</v>
      </c>
      <c r="D67" s="17">
        <v>40751</v>
      </c>
      <c r="E67" s="12">
        <v>-96.61</v>
      </c>
      <c r="G67" s="17">
        <v>40753</v>
      </c>
      <c r="H67" s="12">
        <v>-186.4</v>
      </c>
      <c r="AC67" s="3" t="s">
        <v>95</v>
      </c>
      <c r="AE67" s="30">
        <v>40688</v>
      </c>
      <c r="AF67" s="30">
        <v>40815</v>
      </c>
      <c r="AH67" s="3">
        <v>-275</v>
      </c>
      <c r="AI67" s="3">
        <v>-275</v>
      </c>
      <c r="AQ67" s="28"/>
    </row>
    <row r="68" spans="1:43">
      <c r="A68" s="17">
        <v>40755</v>
      </c>
      <c r="B68" s="12">
        <v>-149.69999999999999</v>
      </c>
      <c r="D68" s="17">
        <v>40753</v>
      </c>
      <c r="E68" s="12">
        <v>-86.3</v>
      </c>
      <c r="G68" s="17">
        <v>40755</v>
      </c>
      <c r="H68" s="12">
        <v>-186.1</v>
      </c>
      <c r="AC68" s="3" t="s">
        <v>96</v>
      </c>
      <c r="AE68" s="30">
        <v>40815</v>
      </c>
      <c r="AF68" s="30">
        <v>40857</v>
      </c>
      <c r="AH68" s="3">
        <v>-275</v>
      </c>
      <c r="AI68" s="3">
        <v>-275</v>
      </c>
      <c r="AQ68" s="28"/>
    </row>
    <row r="69" spans="1:43">
      <c r="A69" s="17">
        <v>40757</v>
      </c>
      <c r="B69" s="12">
        <v>-152.5</v>
      </c>
      <c r="D69" s="17">
        <v>40755</v>
      </c>
      <c r="E69" s="12">
        <v>-93.1</v>
      </c>
      <c r="G69" s="17">
        <v>40757</v>
      </c>
      <c r="H69" s="12">
        <v>-194.8</v>
      </c>
      <c r="AC69" s="3" t="s">
        <v>97</v>
      </c>
      <c r="AE69" s="30">
        <v>40854</v>
      </c>
      <c r="AF69" s="30">
        <v>40879</v>
      </c>
      <c r="AH69" s="3">
        <v>50</v>
      </c>
      <c r="AI69" s="3">
        <v>50</v>
      </c>
      <c r="AQ69" s="28"/>
    </row>
    <row r="70" spans="1:43">
      <c r="A70" s="17">
        <v>40759</v>
      </c>
      <c r="B70" s="12">
        <v>-153.80000000000001</v>
      </c>
      <c r="D70" s="17">
        <v>40757</v>
      </c>
      <c r="E70" s="12">
        <v>-93.9</v>
      </c>
      <c r="G70" s="17">
        <v>40759</v>
      </c>
      <c r="H70" s="12">
        <v>-195.4</v>
      </c>
      <c r="AC70" s="3" t="s">
        <v>67</v>
      </c>
      <c r="AD70" s="3" t="s">
        <v>68</v>
      </c>
      <c r="AE70" s="29"/>
      <c r="AF70" s="30"/>
      <c r="AQ70" s="28"/>
    </row>
    <row r="71" spans="1:43">
      <c r="A71" s="17">
        <v>40761</v>
      </c>
      <c r="B71" s="12">
        <v>-155</v>
      </c>
      <c r="D71" s="17">
        <v>40761</v>
      </c>
      <c r="E71" s="12">
        <v>-93.8</v>
      </c>
      <c r="G71" s="17">
        <v>40761</v>
      </c>
      <c r="H71" s="12">
        <v>-195.3</v>
      </c>
      <c r="AD71" s="3" t="s">
        <v>69</v>
      </c>
      <c r="AE71" s="29">
        <v>40923</v>
      </c>
      <c r="AF71" s="30">
        <v>40953</v>
      </c>
      <c r="AH71" s="3">
        <v>50</v>
      </c>
      <c r="AI71" s="3">
        <v>50</v>
      </c>
      <c r="AQ71" s="28"/>
    </row>
    <row r="72" spans="1:43">
      <c r="A72" s="17">
        <v>40763</v>
      </c>
      <c r="B72" s="12">
        <v>-156.5</v>
      </c>
      <c r="D72" s="17">
        <v>40763</v>
      </c>
      <c r="E72" s="12">
        <v>-91.7</v>
      </c>
      <c r="G72" s="17">
        <v>40763</v>
      </c>
      <c r="H72" s="12">
        <v>-196.8</v>
      </c>
      <c r="AD72" s="3" t="s">
        <v>70</v>
      </c>
      <c r="AE72" s="29">
        <v>41038</v>
      </c>
      <c r="AF72" s="30">
        <v>41061</v>
      </c>
      <c r="AH72" s="3">
        <v>50</v>
      </c>
      <c r="AI72" s="3">
        <v>50</v>
      </c>
      <c r="AQ72" s="28"/>
    </row>
    <row r="73" spans="1:43">
      <c r="A73" s="17">
        <v>40765</v>
      </c>
      <c r="B73" s="12">
        <v>-151.9</v>
      </c>
      <c r="D73" s="17">
        <v>40765</v>
      </c>
      <c r="E73" s="12">
        <v>-93.4</v>
      </c>
      <c r="G73" s="17">
        <v>40765</v>
      </c>
      <c r="H73" s="12">
        <v>-195.1</v>
      </c>
      <c r="AC73" s="3" t="s">
        <v>66</v>
      </c>
      <c r="AE73" s="29">
        <v>40876</v>
      </c>
      <c r="AF73" s="30">
        <v>40908</v>
      </c>
      <c r="AH73" s="3">
        <v>-100</v>
      </c>
      <c r="AI73" s="3">
        <v>-100</v>
      </c>
      <c r="AQ73" s="28"/>
    </row>
    <row r="74" spans="1:43">
      <c r="A74" s="17">
        <v>40767</v>
      </c>
      <c r="B74" s="12">
        <v>-157.19999999999999</v>
      </c>
      <c r="D74" s="17">
        <v>40767</v>
      </c>
      <c r="E74" s="12">
        <v>-90.4</v>
      </c>
      <c r="G74" s="17">
        <v>40767</v>
      </c>
      <c r="H74" s="12">
        <v>-197.7</v>
      </c>
      <c r="AC74" s="3" t="s">
        <v>98</v>
      </c>
      <c r="AE74" s="30">
        <v>40907</v>
      </c>
      <c r="AF74" s="30">
        <v>41146</v>
      </c>
      <c r="AH74" s="3">
        <v>-125</v>
      </c>
      <c r="AI74" s="3">
        <v>-125</v>
      </c>
      <c r="AQ74" s="28"/>
    </row>
    <row r="75" spans="1:43">
      <c r="A75" s="17">
        <v>40769</v>
      </c>
      <c r="B75" s="12">
        <v>-152.69999999999999</v>
      </c>
      <c r="D75" s="17">
        <v>40769</v>
      </c>
      <c r="E75" s="12">
        <v>-91.6</v>
      </c>
      <c r="G75" s="17">
        <v>40769</v>
      </c>
      <c r="H75" s="12">
        <v>-189.7</v>
      </c>
      <c r="AC75" s="35" t="s">
        <v>99</v>
      </c>
      <c r="AE75" s="29">
        <v>41146</v>
      </c>
      <c r="AF75" s="29">
        <v>41419</v>
      </c>
      <c r="AG75" s="28">
        <v>250</v>
      </c>
      <c r="AH75" s="28">
        <v>-575</v>
      </c>
      <c r="AI75" s="3">
        <v>-575</v>
      </c>
      <c r="AQ75" s="28"/>
    </row>
    <row r="76" spans="1:43">
      <c r="A76" s="17">
        <v>40773</v>
      </c>
      <c r="B76" s="12">
        <v>-152.69999999999999</v>
      </c>
      <c r="D76" s="17">
        <v>40773</v>
      </c>
      <c r="E76" s="12">
        <v>-89.1</v>
      </c>
      <c r="G76" s="17">
        <v>40775</v>
      </c>
      <c r="H76" s="12">
        <v>-198.2</v>
      </c>
      <c r="AC76" s="3" t="s">
        <v>100</v>
      </c>
      <c r="AE76" s="29">
        <v>41419</v>
      </c>
      <c r="AF76" s="30">
        <v>41554</v>
      </c>
      <c r="AH76" s="3">
        <v>-575</v>
      </c>
      <c r="AI76" s="3">
        <v>-575</v>
      </c>
      <c r="AQ76" s="28"/>
    </row>
    <row r="77" spans="1:43">
      <c r="A77" s="17">
        <v>40775</v>
      </c>
      <c r="B77" s="12">
        <v>-157.30000000000001</v>
      </c>
      <c r="D77" s="17">
        <v>40775</v>
      </c>
      <c r="E77" s="12">
        <v>-87</v>
      </c>
      <c r="G77" s="17">
        <v>40777</v>
      </c>
      <c r="H77" s="12">
        <v>-193.1</v>
      </c>
      <c r="AQ77" s="28"/>
    </row>
    <row r="78" spans="1:43">
      <c r="A78" s="17">
        <v>40777</v>
      </c>
      <c r="B78" s="12">
        <v>-152.6</v>
      </c>
      <c r="D78" s="17">
        <v>40777</v>
      </c>
      <c r="E78" s="12">
        <v>-86.3</v>
      </c>
      <c r="G78" s="17">
        <v>40779</v>
      </c>
      <c r="H78" s="12">
        <v>-193.9</v>
      </c>
      <c r="AQ78" s="28"/>
    </row>
    <row r="79" spans="1:43">
      <c r="A79" s="17">
        <v>40779</v>
      </c>
      <c r="B79" s="12">
        <v>-153.9</v>
      </c>
      <c r="D79" s="17">
        <v>40779</v>
      </c>
      <c r="E79" s="12">
        <v>-93.3</v>
      </c>
      <c r="G79" s="17">
        <v>40781</v>
      </c>
      <c r="H79" s="12">
        <v>-196.6</v>
      </c>
      <c r="AQ79" s="28"/>
    </row>
    <row r="80" spans="1:43">
      <c r="A80" s="17">
        <v>40781</v>
      </c>
      <c r="B80" s="12">
        <v>-153.19999999999999</v>
      </c>
      <c r="D80" s="17">
        <v>40781</v>
      </c>
      <c r="E80" s="12">
        <v>-90.4</v>
      </c>
      <c r="G80" s="17">
        <v>40783</v>
      </c>
      <c r="H80" s="12">
        <v>-196.7</v>
      </c>
      <c r="AQ80" s="28"/>
    </row>
    <row r="81" spans="1:43">
      <c r="A81" s="17">
        <v>40783</v>
      </c>
      <c r="B81" s="12">
        <v>-156.9</v>
      </c>
      <c r="D81" s="17">
        <v>40783</v>
      </c>
      <c r="E81" s="12">
        <v>-86</v>
      </c>
      <c r="G81" s="17">
        <v>40787</v>
      </c>
      <c r="H81" s="12">
        <v>-196.6</v>
      </c>
      <c r="AQ81" s="28"/>
    </row>
    <row r="82" spans="1:43">
      <c r="A82" s="17">
        <v>40787</v>
      </c>
      <c r="B82" s="12">
        <v>-156.6</v>
      </c>
      <c r="D82" s="17">
        <v>40785</v>
      </c>
      <c r="E82" s="12">
        <v>-95.6</v>
      </c>
      <c r="G82" s="17">
        <v>40789</v>
      </c>
      <c r="H82" s="12">
        <v>-204.9</v>
      </c>
      <c r="AQ82" s="28"/>
    </row>
    <row r="83" spans="1:43">
      <c r="A83" s="17">
        <v>40789</v>
      </c>
      <c r="B83" s="12">
        <v>-158.30000000000001</v>
      </c>
      <c r="D83" s="17">
        <v>40787</v>
      </c>
      <c r="E83" s="12">
        <v>-90.2</v>
      </c>
      <c r="G83" s="17">
        <v>40791</v>
      </c>
      <c r="H83" s="12">
        <v>-208.6</v>
      </c>
      <c r="AQ83" s="28"/>
    </row>
    <row r="84" spans="1:43">
      <c r="A84" s="17">
        <v>40791</v>
      </c>
      <c r="B84" s="12">
        <v>-158.30000000000001</v>
      </c>
      <c r="D84" s="17">
        <v>40789</v>
      </c>
      <c r="E84" s="12">
        <v>-90.6</v>
      </c>
      <c r="G84" s="17">
        <v>40793</v>
      </c>
      <c r="H84" s="12">
        <v>-206.8</v>
      </c>
      <c r="AQ84" s="28"/>
    </row>
    <row r="85" spans="1:43">
      <c r="A85" s="17">
        <v>40793</v>
      </c>
      <c r="B85" s="12">
        <v>-158.80000000000001</v>
      </c>
      <c r="D85" s="17">
        <v>40791</v>
      </c>
      <c r="E85" s="12">
        <v>-91.6</v>
      </c>
      <c r="G85" s="17">
        <v>40795</v>
      </c>
      <c r="H85" s="12">
        <v>-209.4</v>
      </c>
    </row>
    <row r="86" spans="1:43">
      <c r="A86" s="17">
        <v>40795</v>
      </c>
      <c r="B86" s="12">
        <v>-160.19999999999999</v>
      </c>
      <c r="D86" s="17">
        <v>40793</v>
      </c>
      <c r="E86" s="12">
        <v>-92.6</v>
      </c>
      <c r="G86" s="17">
        <v>40797</v>
      </c>
      <c r="H86" s="12">
        <v>-203.5</v>
      </c>
    </row>
    <row r="87" spans="1:43">
      <c r="A87" s="17">
        <v>40797</v>
      </c>
      <c r="B87" s="12">
        <v>-157.30000000000001</v>
      </c>
      <c r="D87" s="17">
        <v>40795</v>
      </c>
      <c r="E87" s="12">
        <v>-100.3</v>
      </c>
      <c r="F87" s="16"/>
      <c r="G87" s="17">
        <v>40799</v>
      </c>
      <c r="H87" s="12">
        <v>-202.3</v>
      </c>
    </row>
    <row r="88" spans="1:43">
      <c r="A88" s="17">
        <v>40799</v>
      </c>
      <c r="B88" s="12">
        <v>-158</v>
      </c>
      <c r="D88" s="17">
        <v>40797</v>
      </c>
      <c r="E88" s="12">
        <v>-106.9</v>
      </c>
      <c r="F88" s="16"/>
      <c r="G88" s="17">
        <v>40801</v>
      </c>
      <c r="H88" s="12">
        <v>-201.5</v>
      </c>
    </row>
    <row r="89" spans="1:43">
      <c r="A89" s="17">
        <v>40801</v>
      </c>
      <c r="B89" s="12">
        <v>-161.19999999999999</v>
      </c>
      <c r="C89" s="16"/>
      <c r="D89" s="17">
        <v>40799</v>
      </c>
      <c r="E89" s="12">
        <v>-101.2</v>
      </c>
      <c r="G89" s="17">
        <v>40803</v>
      </c>
      <c r="H89" s="12">
        <v>-202.1</v>
      </c>
    </row>
    <row r="90" spans="1:43">
      <c r="A90" s="17">
        <v>40803</v>
      </c>
      <c r="B90" s="12">
        <v>-163</v>
      </c>
      <c r="D90" s="17">
        <v>40801</v>
      </c>
      <c r="E90" s="12">
        <v>-106.9</v>
      </c>
      <c r="F90" s="16"/>
      <c r="G90" s="17">
        <v>40805</v>
      </c>
      <c r="H90" s="12">
        <v>-201.8</v>
      </c>
    </row>
    <row r="91" spans="1:43">
      <c r="A91" s="17">
        <v>40805</v>
      </c>
      <c r="B91" s="12">
        <v>-162.4</v>
      </c>
      <c r="D91" s="17">
        <v>40803</v>
      </c>
      <c r="E91" s="12">
        <v>-104.1</v>
      </c>
      <c r="G91" s="17">
        <v>40809</v>
      </c>
      <c r="H91" s="12">
        <v>-203.4</v>
      </c>
    </row>
    <row r="92" spans="1:43">
      <c r="A92" s="17">
        <v>40807</v>
      </c>
      <c r="B92" s="12">
        <v>-160.30000000000001</v>
      </c>
      <c r="D92" s="17">
        <v>40805</v>
      </c>
      <c r="E92" s="12">
        <v>-105.6</v>
      </c>
      <c r="G92" s="17">
        <v>40811</v>
      </c>
      <c r="H92" s="12">
        <v>-203.3</v>
      </c>
    </row>
    <row r="93" spans="1:43">
      <c r="A93" s="17">
        <v>40809</v>
      </c>
      <c r="B93" s="12">
        <v>-157.4</v>
      </c>
      <c r="D93" s="17">
        <v>40807</v>
      </c>
      <c r="E93" s="12">
        <v>-107.4</v>
      </c>
      <c r="G93" s="17">
        <v>40813</v>
      </c>
      <c r="H93" s="12">
        <v>-204.3</v>
      </c>
    </row>
    <row r="94" spans="1:43">
      <c r="A94" s="17">
        <v>40811</v>
      </c>
      <c r="B94" s="12">
        <v>-159.1</v>
      </c>
      <c r="D94" s="17">
        <v>40809</v>
      </c>
      <c r="E94" s="12">
        <v>-107.7</v>
      </c>
      <c r="G94" s="17">
        <v>40815</v>
      </c>
      <c r="H94" s="12">
        <v>-204.3</v>
      </c>
    </row>
    <row r="95" spans="1:43">
      <c r="A95" s="17">
        <v>40813</v>
      </c>
      <c r="B95" s="12">
        <v>-160.30000000000001</v>
      </c>
      <c r="D95" s="17">
        <v>40811</v>
      </c>
      <c r="E95" s="12">
        <v>-109.80000000000001</v>
      </c>
      <c r="G95" s="17">
        <v>40817</v>
      </c>
      <c r="H95" s="12">
        <v>-204.5</v>
      </c>
    </row>
    <row r="96" spans="1:43">
      <c r="A96" s="17">
        <v>40815</v>
      </c>
      <c r="B96" s="12">
        <v>-159.19999999999999</v>
      </c>
      <c r="D96" s="17">
        <v>40813</v>
      </c>
      <c r="E96" s="12">
        <v>-110.19999999999999</v>
      </c>
      <c r="G96" s="17">
        <v>40819</v>
      </c>
      <c r="H96" s="12">
        <v>-204.1</v>
      </c>
    </row>
    <row r="97" spans="1:8">
      <c r="A97" s="17">
        <v>40817</v>
      </c>
      <c r="B97" s="12">
        <v>-159</v>
      </c>
      <c r="D97" s="17">
        <v>40815</v>
      </c>
      <c r="E97" s="12">
        <v>-111</v>
      </c>
      <c r="G97" s="17">
        <v>40821</v>
      </c>
      <c r="H97" s="12">
        <v>-202.4</v>
      </c>
    </row>
    <row r="98" spans="1:8">
      <c r="A98" s="17">
        <v>40819</v>
      </c>
      <c r="B98" s="12">
        <v>-159.1</v>
      </c>
      <c r="D98" s="17">
        <v>40817</v>
      </c>
      <c r="E98" s="12">
        <v>-111.19999999999999</v>
      </c>
      <c r="G98" s="17">
        <v>40823</v>
      </c>
      <c r="H98" s="12">
        <v>-202.3</v>
      </c>
    </row>
    <row r="99" spans="1:8">
      <c r="A99" s="17">
        <v>40821</v>
      </c>
      <c r="B99" s="12">
        <v>-158.5</v>
      </c>
      <c r="D99" s="17">
        <v>40819</v>
      </c>
      <c r="E99" s="12">
        <v>-110.30000000000001</v>
      </c>
      <c r="G99" s="17">
        <v>40825</v>
      </c>
      <c r="H99" s="12">
        <v>-203.5</v>
      </c>
    </row>
    <row r="100" spans="1:8">
      <c r="A100" s="17">
        <v>40823</v>
      </c>
      <c r="B100" s="12">
        <v>-160</v>
      </c>
      <c r="D100" s="17">
        <v>40821</v>
      </c>
      <c r="E100" s="12">
        <v>-109.6</v>
      </c>
      <c r="G100" s="17">
        <v>40827</v>
      </c>
      <c r="H100" s="12">
        <v>-202</v>
      </c>
    </row>
    <row r="101" spans="1:8">
      <c r="A101" s="17">
        <v>40825</v>
      </c>
      <c r="B101" s="12">
        <v>-160.9</v>
      </c>
      <c r="D101" s="17">
        <v>40823</v>
      </c>
      <c r="E101" s="12">
        <v>-107.2</v>
      </c>
      <c r="G101" s="17">
        <v>40829</v>
      </c>
      <c r="H101" s="12">
        <v>-203.4</v>
      </c>
    </row>
    <row r="102" spans="1:8">
      <c r="A102" s="17">
        <v>40827</v>
      </c>
      <c r="B102" s="12">
        <v>-160.4</v>
      </c>
      <c r="D102" s="17">
        <v>40825</v>
      </c>
      <c r="E102" s="12">
        <v>-107.3</v>
      </c>
      <c r="G102" s="17">
        <v>40831</v>
      </c>
      <c r="H102" s="12">
        <v>-208.9</v>
      </c>
    </row>
    <row r="103" spans="1:8">
      <c r="A103" s="17">
        <v>40829</v>
      </c>
      <c r="B103" s="12">
        <v>-159.9</v>
      </c>
      <c r="D103" s="17">
        <v>40827</v>
      </c>
      <c r="E103" s="12">
        <v>-109.1</v>
      </c>
      <c r="G103" s="17">
        <v>40833</v>
      </c>
      <c r="H103" s="12">
        <v>-211.1</v>
      </c>
    </row>
    <row r="104" spans="1:8">
      <c r="A104" s="17">
        <v>40831</v>
      </c>
      <c r="B104" s="12">
        <v>-163.30000000000001</v>
      </c>
      <c r="D104" s="17">
        <v>40829</v>
      </c>
      <c r="E104" s="12">
        <v>-107</v>
      </c>
      <c r="G104" s="17">
        <v>40835</v>
      </c>
      <c r="H104" s="12">
        <v>-213.4</v>
      </c>
    </row>
    <row r="105" spans="1:8">
      <c r="A105" s="17">
        <v>40833</v>
      </c>
      <c r="B105" s="12">
        <v>-163.80000000000001</v>
      </c>
      <c r="D105" s="17">
        <v>40831</v>
      </c>
      <c r="E105" s="12">
        <v>-106.8</v>
      </c>
      <c r="G105" s="17">
        <v>40839</v>
      </c>
      <c r="H105" s="12">
        <v>-221.6</v>
      </c>
    </row>
    <row r="106" spans="1:8">
      <c r="A106" s="17">
        <v>40839</v>
      </c>
      <c r="B106" s="12">
        <v>-171.4</v>
      </c>
      <c r="D106" s="17">
        <v>40833</v>
      </c>
      <c r="E106" s="12">
        <v>-109.6</v>
      </c>
      <c r="G106" s="17">
        <v>40841</v>
      </c>
      <c r="H106" s="12">
        <v>-226.4</v>
      </c>
    </row>
    <row r="107" spans="1:8">
      <c r="A107" s="17">
        <v>40841</v>
      </c>
      <c r="B107" s="12">
        <v>-183.9</v>
      </c>
      <c r="C107" s="16"/>
      <c r="D107" s="17">
        <v>40837</v>
      </c>
      <c r="E107" s="12">
        <v>-107.9</v>
      </c>
      <c r="G107" s="17">
        <v>40845</v>
      </c>
      <c r="H107" s="12">
        <v>-223.4</v>
      </c>
    </row>
    <row r="108" spans="1:8">
      <c r="A108" s="17">
        <v>40845</v>
      </c>
      <c r="B108" s="12">
        <v>-170.1</v>
      </c>
      <c r="C108" s="16"/>
      <c r="D108" s="17">
        <v>40839</v>
      </c>
      <c r="E108" s="12">
        <v>-104.8</v>
      </c>
      <c r="G108" s="17">
        <v>40847</v>
      </c>
      <c r="H108" s="12">
        <v>-226</v>
      </c>
    </row>
    <row r="109" spans="1:8">
      <c r="A109" s="17">
        <v>40847</v>
      </c>
      <c r="B109" s="12">
        <v>-172.3</v>
      </c>
      <c r="D109" s="17">
        <v>40841</v>
      </c>
      <c r="E109" s="12">
        <v>-98.4</v>
      </c>
      <c r="G109" s="17">
        <v>40849</v>
      </c>
      <c r="H109" s="12">
        <v>-231.3</v>
      </c>
    </row>
    <row r="110" spans="1:8">
      <c r="A110" s="17">
        <v>40849</v>
      </c>
      <c r="B110" s="12">
        <v>-164.2</v>
      </c>
      <c r="D110" s="17">
        <v>40845</v>
      </c>
      <c r="E110" s="12">
        <v>-99.3</v>
      </c>
      <c r="G110" s="17">
        <v>40851</v>
      </c>
      <c r="H110" s="12">
        <v>-228.8</v>
      </c>
    </row>
    <row r="111" spans="1:8">
      <c r="A111" s="17">
        <v>40851</v>
      </c>
      <c r="B111" s="12">
        <v>-168.7</v>
      </c>
      <c r="D111" s="17">
        <v>40847</v>
      </c>
      <c r="E111" s="12">
        <v>-105.1</v>
      </c>
      <c r="G111" s="17">
        <v>40854</v>
      </c>
      <c r="H111" s="12">
        <v>-229</v>
      </c>
    </row>
    <row r="112" spans="1:8">
      <c r="A112" s="17">
        <v>40854</v>
      </c>
      <c r="B112" s="12">
        <v>-176.4</v>
      </c>
      <c r="D112" s="17">
        <v>40849</v>
      </c>
      <c r="E112" s="12">
        <v>-124.1</v>
      </c>
      <c r="G112" s="17">
        <v>40856</v>
      </c>
      <c r="H112" s="12">
        <v>-226.2</v>
      </c>
    </row>
    <row r="113" spans="1:8">
      <c r="A113" s="17">
        <v>40856</v>
      </c>
      <c r="B113" s="12">
        <v>-177.2</v>
      </c>
      <c r="D113" s="17">
        <v>40851</v>
      </c>
      <c r="E113" s="12">
        <v>-127.69999999999999</v>
      </c>
      <c r="G113" s="17">
        <v>40858</v>
      </c>
      <c r="H113" s="12">
        <v>-226</v>
      </c>
    </row>
    <row r="114" spans="1:8">
      <c r="A114" s="17">
        <v>40858</v>
      </c>
      <c r="B114" s="12">
        <v>-171.7</v>
      </c>
      <c r="D114" s="17">
        <v>40854</v>
      </c>
      <c r="E114" s="12">
        <v>-132.19999999999999</v>
      </c>
      <c r="G114" s="17">
        <v>40863</v>
      </c>
      <c r="H114" s="12">
        <v>-221.25</v>
      </c>
    </row>
    <row r="115" spans="1:8">
      <c r="A115" s="17">
        <v>40863</v>
      </c>
      <c r="B115" s="12">
        <v>-169.38</v>
      </c>
      <c r="D115" s="17">
        <v>40856</v>
      </c>
      <c r="E115" s="12">
        <v>-136.4</v>
      </c>
      <c r="G115" s="17">
        <v>40865</v>
      </c>
      <c r="H115" s="12">
        <v>-225</v>
      </c>
    </row>
    <row r="116" spans="1:8">
      <c r="A116" s="17">
        <v>40865</v>
      </c>
      <c r="B116" s="12">
        <v>-173.9</v>
      </c>
      <c r="D116" s="17">
        <v>40858</v>
      </c>
      <c r="E116" s="12">
        <v>-143.08000000000001</v>
      </c>
      <c r="G116" s="17">
        <v>40868</v>
      </c>
      <c r="H116" s="12">
        <v>-228.5</v>
      </c>
    </row>
    <row r="117" spans="1:8">
      <c r="A117" s="17">
        <v>40868</v>
      </c>
      <c r="B117" s="12">
        <v>-174.9</v>
      </c>
      <c r="D117" s="17">
        <v>40863</v>
      </c>
      <c r="E117" s="12">
        <v>-133.32</v>
      </c>
      <c r="G117" s="17">
        <v>40870</v>
      </c>
      <c r="H117" s="12">
        <v>-234.06</v>
      </c>
    </row>
    <row r="118" spans="1:8">
      <c r="A118" s="17">
        <v>40870</v>
      </c>
      <c r="B118" s="12">
        <v>-175.57</v>
      </c>
      <c r="D118" s="17">
        <v>40865</v>
      </c>
      <c r="E118" s="12">
        <v>-136.6</v>
      </c>
      <c r="G118" s="17">
        <v>40872</v>
      </c>
      <c r="H118" s="12">
        <v>-240.5</v>
      </c>
    </row>
    <row r="119" spans="1:8">
      <c r="A119" s="17">
        <v>40872</v>
      </c>
      <c r="B119" s="12">
        <v>-174.3</v>
      </c>
      <c r="D119" s="17">
        <v>40868</v>
      </c>
      <c r="E119" s="12">
        <v>-126.6</v>
      </c>
      <c r="G119" s="17">
        <v>40875</v>
      </c>
      <c r="H119" s="12">
        <v>-251.25</v>
      </c>
    </row>
    <row r="120" spans="1:8">
      <c r="A120" s="17">
        <v>40875</v>
      </c>
      <c r="B120" s="12">
        <v>-170.9</v>
      </c>
      <c r="D120" s="17">
        <v>40872</v>
      </c>
      <c r="E120" s="12">
        <v>-140.30000000000001</v>
      </c>
      <c r="G120" s="17">
        <v>40877</v>
      </c>
      <c r="H120" s="12">
        <v>-264.5</v>
      </c>
    </row>
    <row r="121" spans="1:8">
      <c r="A121" s="17">
        <v>40879</v>
      </c>
      <c r="B121" s="12">
        <v>-178.59</v>
      </c>
      <c r="D121" s="17">
        <v>40875</v>
      </c>
      <c r="E121" s="12">
        <v>-143.25299999999999</v>
      </c>
      <c r="G121" s="17">
        <v>40879</v>
      </c>
      <c r="H121" s="12">
        <v>-257.72000000000003</v>
      </c>
    </row>
    <row r="122" spans="1:8">
      <c r="A122" s="17">
        <v>40882</v>
      </c>
      <c r="B122" s="12">
        <v>-177.9</v>
      </c>
      <c r="D122" s="17">
        <v>40879</v>
      </c>
      <c r="E122" s="12">
        <v>-143.22</v>
      </c>
      <c r="G122" s="17">
        <v>40882</v>
      </c>
      <c r="H122" s="12">
        <v>-263</v>
      </c>
    </row>
    <row r="123" spans="1:8">
      <c r="A123" s="17">
        <v>40884</v>
      </c>
      <c r="B123" s="12">
        <v>-177</v>
      </c>
      <c r="D123" s="17">
        <v>40882</v>
      </c>
      <c r="E123" s="12">
        <v>-152.4</v>
      </c>
      <c r="G123" s="17">
        <v>40884</v>
      </c>
      <c r="H123" s="12">
        <v>-264</v>
      </c>
    </row>
    <row r="124" spans="1:8">
      <c r="A124" s="17">
        <v>40886</v>
      </c>
      <c r="B124" s="12">
        <v>-179.5</v>
      </c>
      <c r="D124" s="17">
        <v>40884</v>
      </c>
      <c r="E124" s="12">
        <v>-149.30000000000001</v>
      </c>
      <c r="G124" s="17">
        <v>40886</v>
      </c>
      <c r="H124" s="12">
        <v>-258</v>
      </c>
    </row>
    <row r="125" spans="1:8">
      <c r="A125" s="17">
        <v>40889</v>
      </c>
      <c r="B125" s="12">
        <v>-179.9</v>
      </c>
      <c r="D125" s="17">
        <v>40886</v>
      </c>
      <c r="E125" s="12">
        <v>-141</v>
      </c>
      <c r="G125" s="17">
        <v>40889</v>
      </c>
      <c r="H125" s="12">
        <v>-259</v>
      </c>
    </row>
    <row r="126" spans="1:8">
      <c r="A126" s="17">
        <v>40891</v>
      </c>
      <c r="B126" s="12">
        <v>-178.9</v>
      </c>
      <c r="D126" s="17">
        <v>40889</v>
      </c>
      <c r="E126" s="12">
        <v>-140</v>
      </c>
      <c r="G126" s="17">
        <v>40891</v>
      </c>
      <c r="H126" s="12">
        <v>-260.5</v>
      </c>
    </row>
    <row r="127" spans="1:8">
      <c r="A127" s="17">
        <v>40893</v>
      </c>
      <c r="B127" s="12">
        <v>-180.44</v>
      </c>
      <c r="D127" s="17">
        <v>40891</v>
      </c>
      <c r="E127" s="12">
        <v>-139</v>
      </c>
      <c r="G127" s="17">
        <v>40893</v>
      </c>
      <c r="H127" s="12">
        <v>-259.72000000000003</v>
      </c>
    </row>
    <row r="128" spans="1:8">
      <c r="A128" s="17">
        <v>40896</v>
      </c>
      <c r="B128" s="12">
        <v>-181.07</v>
      </c>
      <c r="D128" s="17">
        <v>40893</v>
      </c>
      <c r="E128" s="12">
        <v>-136.9</v>
      </c>
      <c r="G128" s="17">
        <v>40896</v>
      </c>
      <c r="H128" s="12">
        <v>-260.33999999999997</v>
      </c>
    </row>
    <row r="129" spans="1:9">
      <c r="A129" s="17">
        <v>40898</v>
      </c>
      <c r="B129" s="12">
        <v>-182.11</v>
      </c>
      <c r="D129" s="17">
        <v>40896</v>
      </c>
      <c r="E129" s="12">
        <v>-135.24</v>
      </c>
      <c r="G129" s="17">
        <v>40898</v>
      </c>
      <c r="H129" s="12">
        <v>-264.89</v>
      </c>
    </row>
    <row r="130" spans="1:9">
      <c r="A130" s="17">
        <v>40900</v>
      </c>
      <c r="B130" s="12">
        <v>-182</v>
      </c>
      <c r="D130" s="17">
        <v>40898</v>
      </c>
      <c r="E130" s="12">
        <v>-141.91</v>
      </c>
      <c r="G130" s="17">
        <v>40900</v>
      </c>
      <c r="H130" s="12">
        <v>-265</v>
      </c>
    </row>
    <row r="131" spans="1:9">
      <c r="A131" s="17">
        <v>40903</v>
      </c>
      <c r="B131" s="12">
        <v>-183.66</v>
      </c>
      <c r="D131" s="17">
        <v>40903</v>
      </c>
      <c r="E131" s="12">
        <v>-144.91</v>
      </c>
      <c r="G131" s="17">
        <v>40903</v>
      </c>
      <c r="H131" s="12">
        <v>-268.27</v>
      </c>
    </row>
    <row r="132" spans="1:9">
      <c r="A132" s="17">
        <v>40905</v>
      </c>
      <c r="B132" s="12">
        <v>-182.34</v>
      </c>
      <c r="D132" s="17">
        <v>40905</v>
      </c>
      <c r="E132" s="12">
        <v>-144.30000000000001</v>
      </c>
      <c r="G132" s="17">
        <v>40905</v>
      </c>
      <c r="H132" s="12">
        <v>-269.24</v>
      </c>
    </row>
    <row r="133" spans="1:9">
      <c r="A133" s="17">
        <v>40924</v>
      </c>
      <c r="B133" s="12">
        <v>-184.7</v>
      </c>
      <c r="D133" s="17">
        <v>40924</v>
      </c>
      <c r="E133" s="12">
        <v>-145</v>
      </c>
      <c r="G133" s="17">
        <v>40924</v>
      </c>
      <c r="H133" s="12">
        <v>-270.2</v>
      </c>
      <c r="I133" s="16"/>
    </row>
    <row r="134" spans="1:9">
      <c r="A134" s="17">
        <v>40926</v>
      </c>
      <c r="B134" s="12">
        <v>-183</v>
      </c>
      <c r="D134" s="17">
        <v>40926</v>
      </c>
      <c r="E134" s="12">
        <v>-145</v>
      </c>
      <c r="G134" s="17">
        <v>40926</v>
      </c>
      <c r="H134" s="12">
        <v>-274</v>
      </c>
    </row>
    <row r="135" spans="1:9">
      <c r="A135" s="17">
        <v>40928</v>
      </c>
      <c r="B135" s="12">
        <v>-183</v>
      </c>
      <c r="D135" s="17">
        <v>40928</v>
      </c>
      <c r="E135" s="12">
        <v>-143</v>
      </c>
      <c r="G135" s="17">
        <v>40928</v>
      </c>
      <c r="H135" s="12">
        <v>-272</v>
      </c>
    </row>
    <row r="136" spans="1:9">
      <c r="A136" s="17">
        <v>40935</v>
      </c>
      <c r="B136" s="12">
        <v>-175</v>
      </c>
      <c r="D136" s="17">
        <v>40935</v>
      </c>
      <c r="E136" s="12">
        <v>-140</v>
      </c>
      <c r="G136" s="17">
        <v>40935</v>
      </c>
      <c r="H136" s="12">
        <v>-267</v>
      </c>
    </row>
    <row r="137" spans="1:9">
      <c r="A137" s="17">
        <v>40938</v>
      </c>
      <c r="B137" s="12">
        <v>-177</v>
      </c>
      <c r="D137" s="17">
        <v>40938</v>
      </c>
      <c r="E137" s="12">
        <v>-144.30000000000001</v>
      </c>
      <c r="G137" s="17">
        <v>40938</v>
      </c>
      <c r="H137" s="12">
        <v>-269.24</v>
      </c>
    </row>
    <row r="138" spans="1:9">
      <c r="A138" s="17">
        <v>40940</v>
      </c>
      <c r="B138" s="12">
        <v>-193</v>
      </c>
      <c r="D138" s="17">
        <v>40940</v>
      </c>
      <c r="E138" s="12">
        <v>-149.9</v>
      </c>
      <c r="G138" s="17">
        <v>40940</v>
      </c>
      <c r="H138" s="12">
        <v>-283</v>
      </c>
    </row>
    <row r="139" spans="1:9">
      <c r="A139" s="17">
        <v>40942</v>
      </c>
      <c r="B139" s="12">
        <v>-191</v>
      </c>
      <c r="D139" s="17">
        <v>40942</v>
      </c>
      <c r="E139" s="12">
        <v>-144</v>
      </c>
      <c r="G139" s="17">
        <v>40942</v>
      </c>
      <c r="H139" s="12">
        <v>-282</v>
      </c>
    </row>
    <row r="140" spans="1:9">
      <c r="A140" s="17">
        <v>40945</v>
      </c>
      <c r="B140" s="12">
        <v>-197.5</v>
      </c>
      <c r="D140" s="17">
        <v>40945</v>
      </c>
      <c r="E140" s="12">
        <v>-146</v>
      </c>
      <c r="G140" s="17">
        <v>40945</v>
      </c>
      <c r="H140" s="12">
        <v>-278</v>
      </c>
    </row>
    <row r="141" spans="1:9">
      <c r="A141" s="17">
        <v>40947</v>
      </c>
      <c r="B141" s="12">
        <v>-194</v>
      </c>
      <c r="D141" s="17">
        <v>40947</v>
      </c>
      <c r="E141" s="12">
        <v>-154</v>
      </c>
      <c r="G141" s="17">
        <v>40947</v>
      </c>
      <c r="H141" s="12">
        <v>-284</v>
      </c>
    </row>
    <row r="142" spans="1:9">
      <c r="A142" s="17">
        <v>40948</v>
      </c>
      <c r="B142" s="12">
        <v>-195</v>
      </c>
      <c r="D142" s="17">
        <v>40948</v>
      </c>
      <c r="E142" s="12">
        <v>-154</v>
      </c>
      <c r="G142" s="17">
        <v>40948</v>
      </c>
      <c r="H142" s="12">
        <v>-284</v>
      </c>
    </row>
    <row r="143" spans="1:9">
      <c r="A143" s="17">
        <v>40949</v>
      </c>
      <c r="B143" s="12">
        <v>-194</v>
      </c>
      <c r="D143" s="17">
        <v>40949</v>
      </c>
      <c r="E143" s="12">
        <v>-144</v>
      </c>
      <c r="G143" s="17">
        <v>40949</v>
      </c>
      <c r="H143" s="12">
        <v>-283</v>
      </c>
    </row>
    <row r="144" spans="1:9">
      <c r="A144" s="17">
        <v>40952</v>
      </c>
      <c r="B144" s="12">
        <v>-191.18</v>
      </c>
      <c r="D144" s="17">
        <v>40952</v>
      </c>
      <c r="E144" s="12">
        <v>-155.26</v>
      </c>
      <c r="G144" s="17">
        <v>40952</v>
      </c>
      <c r="H144" s="12">
        <v>-283.01</v>
      </c>
      <c r="I144" s="16"/>
    </row>
    <row r="145" spans="1:8">
      <c r="A145" s="17">
        <v>40954</v>
      </c>
      <c r="B145" s="12">
        <v>-196.47</v>
      </c>
      <c r="D145" s="17">
        <v>40954</v>
      </c>
      <c r="E145" s="12">
        <v>-160.32</v>
      </c>
      <c r="G145" s="17">
        <v>40954</v>
      </c>
      <c r="H145" s="12">
        <v>-285.95999999999998</v>
      </c>
    </row>
    <row r="146" spans="1:8">
      <c r="A146" s="17">
        <v>40956</v>
      </c>
      <c r="B146" s="12">
        <v>-191.32</v>
      </c>
      <c r="D146" s="17">
        <v>40956</v>
      </c>
      <c r="E146" s="12">
        <v>-160.84</v>
      </c>
      <c r="G146" s="17">
        <v>40956</v>
      </c>
      <c r="H146" s="12">
        <v>-280.58999999999997</v>
      </c>
    </row>
    <row r="147" spans="1:8">
      <c r="A147" s="17">
        <v>40959</v>
      </c>
      <c r="B147" s="12">
        <v>-194.99</v>
      </c>
      <c r="D147" s="17">
        <v>40959</v>
      </c>
      <c r="E147" s="12">
        <v>-146.85</v>
      </c>
      <c r="G147" s="17">
        <v>40959</v>
      </c>
      <c r="H147" s="12">
        <v>-277.39999999999998</v>
      </c>
    </row>
    <row r="148" spans="1:8">
      <c r="A148" s="17">
        <v>40961</v>
      </c>
      <c r="B148" s="12">
        <v>-189.64</v>
      </c>
      <c r="D148" s="17">
        <v>40961</v>
      </c>
      <c r="E148" s="12">
        <v>-150.78</v>
      </c>
      <c r="G148" s="17">
        <v>40961</v>
      </c>
      <c r="H148" s="12">
        <v>-280.19</v>
      </c>
    </row>
    <row r="149" spans="1:8">
      <c r="A149" s="17">
        <v>40963</v>
      </c>
      <c r="B149" s="12">
        <v>-187.65</v>
      </c>
      <c r="D149" s="17">
        <v>40963</v>
      </c>
      <c r="E149" s="12">
        <v>-149.13999999999999</v>
      </c>
      <c r="G149" s="17">
        <v>40963</v>
      </c>
      <c r="H149" s="12">
        <v>-281.13</v>
      </c>
    </row>
    <row r="150" spans="1:8">
      <c r="A150" s="17">
        <v>40966</v>
      </c>
      <c r="B150" s="12">
        <v>-187.34</v>
      </c>
      <c r="D150" s="17">
        <v>40966</v>
      </c>
      <c r="E150" s="12">
        <v>-148.46</v>
      </c>
      <c r="G150" s="17">
        <v>40966</v>
      </c>
      <c r="H150" s="12">
        <v>-283.10000000000002</v>
      </c>
    </row>
    <row r="151" spans="1:8">
      <c r="A151" s="17">
        <v>40968</v>
      </c>
      <c r="B151" s="12">
        <v>-188.88</v>
      </c>
      <c r="D151" s="17">
        <v>40968</v>
      </c>
      <c r="E151" s="12">
        <v>-151.66</v>
      </c>
      <c r="G151" s="17">
        <v>40968</v>
      </c>
      <c r="H151" s="12">
        <v>-282.63</v>
      </c>
    </row>
    <row r="152" spans="1:8">
      <c r="A152" s="17">
        <v>40970</v>
      </c>
      <c r="B152" s="12">
        <v>-188.07</v>
      </c>
      <c r="D152" s="17">
        <v>40970</v>
      </c>
      <c r="E152" s="12">
        <v>-150.63999999999999</v>
      </c>
      <c r="G152" s="17">
        <v>40970</v>
      </c>
      <c r="H152" s="12">
        <v>-274.77999999999997</v>
      </c>
    </row>
    <row r="153" spans="1:8">
      <c r="A153" s="17">
        <v>40973</v>
      </c>
      <c r="B153" s="12">
        <v>-189.58</v>
      </c>
      <c r="D153" s="17">
        <v>40973</v>
      </c>
      <c r="E153" s="12">
        <v>-154.46</v>
      </c>
      <c r="G153" s="17">
        <v>40973</v>
      </c>
      <c r="H153" s="12">
        <v>-277.5</v>
      </c>
    </row>
    <row r="154" spans="1:8">
      <c r="A154" s="17">
        <v>40975</v>
      </c>
      <c r="B154" s="12">
        <v>-190.76</v>
      </c>
      <c r="D154" s="17">
        <v>40975</v>
      </c>
      <c r="E154" s="12">
        <v>-152.6</v>
      </c>
      <c r="G154" s="17">
        <v>40975</v>
      </c>
      <c r="H154" s="12">
        <v>-278.10000000000002</v>
      </c>
    </row>
    <row r="155" spans="1:8">
      <c r="A155" s="17">
        <v>40977</v>
      </c>
      <c r="B155" s="12">
        <v>-199.01</v>
      </c>
      <c r="D155" s="17">
        <v>40977</v>
      </c>
      <c r="E155" s="12">
        <v>-151.15</v>
      </c>
      <c r="G155" s="17">
        <v>40977</v>
      </c>
      <c r="H155" s="12">
        <v>-276.39</v>
      </c>
    </row>
    <row r="156" spans="1:8">
      <c r="A156" s="17">
        <v>40980</v>
      </c>
      <c r="B156" s="12">
        <v>-194.01</v>
      </c>
      <c r="D156" s="17">
        <v>40980</v>
      </c>
      <c r="E156" s="12">
        <v>-152.82</v>
      </c>
      <c r="G156" s="17">
        <v>40980</v>
      </c>
      <c r="H156" s="12">
        <v>-277.52999999999997</v>
      </c>
    </row>
    <row r="157" spans="1:8">
      <c r="A157" s="17">
        <v>40984</v>
      </c>
      <c r="B157" s="12">
        <v>-194.43</v>
      </c>
      <c r="D157" s="17">
        <v>40982</v>
      </c>
      <c r="E157" s="12">
        <v>-150.96</v>
      </c>
      <c r="G157" s="17">
        <v>40982</v>
      </c>
      <c r="H157" s="12">
        <v>-278.39999999999998</v>
      </c>
    </row>
    <row r="158" spans="1:8">
      <c r="A158" s="17">
        <v>40987</v>
      </c>
      <c r="B158" s="12">
        <v>-192.84</v>
      </c>
      <c r="D158" s="17">
        <v>40984</v>
      </c>
      <c r="E158" s="12">
        <v>-151.6</v>
      </c>
      <c r="G158" s="17">
        <v>40984</v>
      </c>
      <c r="H158" s="12">
        <v>-278.83</v>
      </c>
    </row>
    <row r="159" spans="1:8">
      <c r="A159" s="17">
        <v>40989</v>
      </c>
      <c r="B159" s="12">
        <v>-193.17</v>
      </c>
      <c r="D159" s="17">
        <v>40987</v>
      </c>
      <c r="E159" s="12">
        <v>-150.22</v>
      </c>
      <c r="G159" s="17">
        <v>40987</v>
      </c>
      <c r="H159" s="12">
        <v>-275.77</v>
      </c>
    </row>
    <row r="160" spans="1:8">
      <c r="A160" s="17">
        <v>40991</v>
      </c>
      <c r="B160" s="12">
        <v>-193.71</v>
      </c>
      <c r="D160" s="17">
        <v>40989</v>
      </c>
      <c r="E160" s="12">
        <v>-147.56</v>
      </c>
      <c r="G160" s="17">
        <v>40989</v>
      </c>
      <c r="H160" s="12">
        <v>-273.39</v>
      </c>
    </row>
    <row r="161" spans="1:8">
      <c r="A161" s="17">
        <v>40994</v>
      </c>
      <c r="B161" s="12">
        <v>-192.3</v>
      </c>
      <c r="D161" s="17">
        <v>40991</v>
      </c>
      <c r="E161" s="12">
        <v>-152.65</v>
      </c>
      <c r="G161" s="17">
        <v>40991</v>
      </c>
      <c r="H161" s="12">
        <v>-276.64</v>
      </c>
    </row>
    <row r="162" spans="1:8">
      <c r="A162" s="17">
        <v>40996</v>
      </c>
      <c r="B162" s="12">
        <v>-190.35</v>
      </c>
      <c r="D162" s="17">
        <v>40994</v>
      </c>
      <c r="E162" s="12">
        <v>-150.24</v>
      </c>
      <c r="G162" s="17">
        <v>40994</v>
      </c>
      <c r="H162" s="12">
        <v>-275.2</v>
      </c>
    </row>
    <row r="163" spans="1:8">
      <c r="A163" s="17">
        <v>40998</v>
      </c>
      <c r="B163" s="12">
        <v>-191.02</v>
      </c>
      <c r="D163" s="17">
        <v>40996</v>
      </c>
      <c r="E163" s="12">
        <v>-148.43</v>
      </c>
      <c r="G163" s="17">
        <v>40996</v>
      </c>
      <c r="H163" s="12">
        <v>-274.66000000000003</v>
      </c>
    </row>
    <row r="164" spans="1:8">
      <c r="A164" s="17">
        <v>41001</v>
      </c>
      <c r="B164" s="12">
        <v>-191.25</v>
      </c>
      <c r="D164" s="17">
        <v>40998</v>
      </c>
      <c r="E164" s="12">
        <v>-150.83000000000001</v>
      </c>
      <c r="G164" s="17">
        <v>40998</v>
      </c>
      <c r="H164" s="12">
        <v>-275.02</v>
      </c>
    </row>
    <row r="165" spans="1:8">
      <c r="A165" s="17">
        <v>41004</v>
      </c>
      <c r="B165" s="12">
        <v>-191.42</v>
      </c>
      <c r="D165" s="17">
        <v>41001</v>
      </c>
      <c r="E165" s="12">
        <v>-150.44</v>
      </c>
      <c r="G165" s="17">
        <v>41001</v>
      </c>
      <c r="H165" s="12">
        <v>-274.73</v>
      </c>
    </row>
    <row r="166" spans="1:8">
      <c r="A166" s="17">
        <v>41008</v>
      </c>
      <c r="B166" s="12">
        <v>-192.26</v>
      </c>
      <c r="D166" s="17">
        <v>41004</v>
      </c>
      <c r="E166" s="12">
        <v>-153.6</v>
      </c>
      <c r="G166" s="17">
        <v>41004</v>
      </c>
      <c r="H166" s="12">
        <v>-273.91000000000003</v>
      </c>
    </row>
    <row r="167" spans="1:8">
      <c r="A167" s="17">
        <v>41011</v>
      </c>
      <c r="B167" s="12">
        <v>-191.13</v>
      </c>
      <c r="D167" s="17">
        <v>41008</v>
      </c>
      <c r="E167" s="12">
        <v>-156.21</v>
      </c>
      <c r="G167" s="17">
        <v>41008</v>
      </c>
      <c r="H167" s="12">
        <v>-275.7</v>
      </c>
    </row>
    <row r="168" spans="1:8">
      <c r="A168" s="17">
        <v>41015</v>
      </c>
      <c r="B168" s="12">
        <v>-192.91</v>
      </c>
      <c r="D168" s="17">
        <v>41011</v>
      </c>
      <c r="E168" s="12">
        <v>-155.78</v>
      </c>
      <c r="G168" s="17">
        <v>41011</v>
      </c>
      <c r="H168" s="12">
        <v>-277.02</v>
      </c>
    </row>
    <row r="169" spans="1:8">
      <c r="A169" s="17">
        <v>41018</v>
      </c>
      <c r="B169" s="12">
        <v>-190.69</v>
      </c>
      <c r="D169" s="17">
        <v>41015</v>
      </c>
      <c r="E169" s="12">
        <v>-148.57</v>
      </c>
      <c r="G169" s="17">
        <v>41015</v>
      </c>
      <c r="H169" s="12">
        <v>-277.17</v>
      </c>
    </row>
    <row r="170" spans="1:8">
      <c r="A170" s="17">
        <v>41022</v>
      </c>
      <c r="B170" s="12">
        <v>-189.35</v>
      </c>
      <c r="D170" s="17">
        <v>41018</v>
      </c>
      <c r="E170" s="12">
        <v>-146.5</v>
      </c>
      <c r="G170" s="17">
        <v>41018</v>
      </c>
      <c r="H170" s="12">
        <v>-279.61</v>
      </c>
    </row>
    <row r="171" spans="1:8">
      <c r="A171" s="17">
        <v>41025</v>
      </c>
      <c r="B171" s="12">
        <v>-190.85</v>
      </c>
      <c r="D171" s="17">
        <v>41022</v>
      </c>
      <c r="E171" s="12">
        <v>-145.93</v>
      </c>
      <c r="G171" s="17">
        <v>41022</v>
      </c>
      <c r="H171" s="12">
        <v>-278.76</v>
      </c>
    </row>
    <row r="172" spans="1:8">
      <c r="A172" s="17">
        <v>41029</v>
      </c>
      <c r="B172" s="12">
        <v>-189.12</v>
      </c>
      <c r="D172" s="17">
        <v>41025</v>
      </c>
      <c r="E172" s="12">
        <v>-150.57</v>
      </c>
      <c r="G172" s="17">
        <v>41025</v>
      </c>
      <c r="H172" s="12">
        <v>-284.08999999999997</v>
      </c>
    </row>
    <row r="173" spans="1:8">
      <c r="A173" s="17">
        <v>41033</v>
      </c>
      <c r="B173" s="12">
        <v>-188.37</v>
      </c>
      <c r="D173" s="17">
        <v>41029</v>
      </c>
      <c r="E173" s="12">
        <v>-152.26</v>
      </c>
      <c r="G173" s="17">
        <v>41029</v>
      </c>
      <c r="H173" s="12">
        <v>-282.57</v>
      </c>
    </row>
    <row r="174" spans="1:8">
      <c r="A174" s="17">
        <v>41036</v>
      </c>
      <c r="B174" s="12">
        <v>-191.32</v>
      </c>
      <c r="D174" s="17">
        <v>41033</v>
      </c>
      <c r="E174" s="12">
        <v>-156.11000000000001</v>
      </c>
      <c r="G174" s="17">
        <v>41033</v>
      </c>
      <c r="H174" s="12">
        <v>-283.49</v>
      </c>
    </row>
    <row r="175" spans="1:8">
      <c r="A175" s="17">
        <v>41038</v>
      </c>
      <c r="B175" s="12">
        <v>-194.54</v>
      </c>
      <c r="D175" s="17">
        <v>41036</v>
      </c>
      <c r="E175" s="12">
        <v>-159.11000000000001</v>
      </c>
      <c r="G175" s="17">
        <v>41036</v>
      </c>
      <c r="H175" s="12">
        <v>-287.45</v>
      </c>
    </row>
    <row r="176" spans="1:8">
      <c r="A176" s="17">
        <v>41040</v>
      </c>
      <c r="B176" s="12">
        <v>-191.88</v>
      </c>
      <c r="D176" s="17">
        <v>41038</v>
      </c>
      <c r="E176" s="12">
        <v>-163.29</v>
      </c>
      <c r="G176" s="17">
        <v>41038</v>
      </c>
      <c r="H176" s="12">
        <v>-285.27999999999997</v>
      </c>
    </row>
    <row r="177" spans="1:8">
      <c r="A177" s="17">
        <v>41043</v>
      </c>
      <c r="B177" s="12">
        <v>-190.41</v>
      </c>
      <c r="D177" s="17">
        <v>41040</v>
      </c>
      <c r="E177" s="12">
        <v>-166.36</v>
      </c>
      <c r="G177" s="17">
        <v>41040</v>
      </c>
      <c r="H177" s="12">
        <v>-286.62</v>
      </c>
    </row>
    <row r="178" spans="1:8">
      <c r="A178" s="17">
        <v>41045</v>
      </c>
      <c r="B178" s="12">
        <v>-193.97</v>
      </c>
      <c r="D178" s="17">
        <v>41043</v>
      </c>
      <c r="E178" s="12">
        <v>-161.01</v>
      </c>
      <c r="G178" s="17">
        <v>41043</v>
      </c>
      <c r="H178" s="12">
        <v>-285.32</v>
      </c>
    </row>
    <row r="179" spans="1:8">
      <c r="A179" s="17">
        <v>41047</v>
      </c>
      <c r="B179" s="12">
        <v>-192.51</v>
      </c>
      <c r="D179" s="17">
        <v>41045</v>
      </c>
      <c r="E179" s="12">
        <v>-161.38999999999999</v>
      </c>
      <c r="G179" s="17">
        <v>41045</v>
      </c>
      <c r="H179" s="12">
        <v>-286.2</v>
      </c>
    </row>
    <row r="180" spans="1:8">
      <c r="A180" s="17">
        <v>41050</v>
      </c>
      <c r="B180" s="12">
        <v>-193.81</v>
      </c>
      <c r="D180" s="17">
        <v>41047</v>
      </c>
      <c r="E180" s="12">
        <v>-161.44999999999999</v>
      </c>
      <c r="G180" s="17">
        <v>41047</v>
      </c>
      <c r="H180" s="12">
        <v>-286.92</v>
      </c>
    </row>
    <row r="181" spans="1:8">
      <c r="A181" s="17">
        <v>41052</v>
      </c>
      <c r="B181" s="12">
        <v>-193.81</v>
      </c>
      <c r="D181" s="17">
        <v>41050</v>
      </c>
      <c r="E181" s="12">
        <v>-161.80000000000001</v>
      </c>
      <c r="G181" s="17">
        <v>41050</v>
      </c>
      <c r="H181" s="12">
        <v>-290.12</v>
      </c>
    </row>
    <row r="182" spans="1:8">
      <c r="A182" s="17">
        <v>41054</v>
      </c>
      <c r="B182" s="12">
        <v>-195.16</v>
      </c>
      <c r="D182" s="17">
        <v>41052</v>
      </c>
      <c r="E182" s="12">
        <v>-164.14</v>
      </c>
      <c r="G182" s="17">
        <v>41052</v>
      </c>
      <c r="H182" s="12">
        <v>-288.05</v>
      </c>
    </row>
    <row r="183" spans="1:8">
      <c r="A183" s="17">
        <v>41057</v>
      </c>
      <c r="B183" s="12">
        <v>-192.92</v>
      </c>
      <c r="D183" s="17">
        <v>41054</v>
      </c>
      <c r="E183" s="12">
        <v>-164.83</v>
      </c>
      <c r="G183" s="17">
        <v>41054</v>
      </c>
      <c r="H183" s="12">
        <v>-290.41000000000003</v>
      </c>
    </row>
    <row r="184" spans="1:8">
      <c r="A184" s="17">
        <v>41059</v>
      </c>
      <c r="B184" s="12">
        <v>-194.69</v>
      </c>
      <c r="D184" s="17">
        <v>41057</v>
      </c>
      <c r="E184" s="12">
        <v>-165.79</v>
      </c>
      <c r="G184" s="17">
        <v>41057</v>
      </c>
      <c r="H184" s="12">
        <v>-291.02999999999997</v>
      </c>
    </row>
    <row r="185" spans="1:8">
      <c r="A185" s="17">
        <v>41061</v>
      </c>
      <c r="B185" s="12">
        <v>-194.05</v>
      </c>
      <c r="D185" s="17">
        <v>41059</v>
      </c>
      <c r="E185" s="12">
        <v>-165.65</v>
      </c>
      <c r="G185" s="17">
        <v>41059</v>
      </c>
      <c r="H185" s="12">
        <v>-291.08999999999997</v>
      </c>
    </row>
    <row r="186" spans="1:8">
      <c r="A186" s="17">
        <v>41064</v>
      </c>
      <c r="B186" s="12">
        <v>-194.92</v>
      </c>
      <c r="D186" s="17">
        <v>41061</v>
      </c>
      <c r="E186" s="12">
        <v>-167.27</v>
      </c>
      <c r="G186" s="17">
        <v>41061</v>
      </c>
      <c r="H186" s="12">
        <v>-288.99</v>
      </c>
    </row>
    <row r="187" spans="1:8">
      <c r="A187" s="17">
        <v>41066</v>
      </c>
      <c r="B187" s="12">
        <v>-193.33</v>
      </c>
      <c r="D187" s="17">
        <v>41064</v>
      </c>
      <c r="E187" s="12">
        <v>-167.7</v>
      </c>
      <c r="G187" s="17">
        <v>41064</v>
      </c>
      <c r="H187" s="12">
        <v>-292.51</v>
      </c>
    </row>
    <row r="188" spans="1:8">
      <c r="A188" s="17">
        <v>41068</v>
      </c>
      <c r="B188" s="12">
        <v>-195.64</v>
      </c>
      <c r="D188" s="17">
        <v>41066</v>
      </c>
      <c r="E188" s="12">
        <v>-169.17</v>
      </c>
      <c r="G188" s="17">
        <v>41066</v>
      </c>
      <c r="H188" s="12">
        <v>-291.95999999999998</v>
      </c>
    </row>
    <row r="189" spans="1:8">
      <c r="A189" s="17">
        <v>41071</v>
      </c>
      <c r="B189" s="12">
        <v>-197.62</v>
      </c>
      <c r="D189" s="17">
        <v>41068</v>
      </c>
      <c r="E189" s="12">
        <v>-165.82</v>
      </c>
      <c r="G189" s="17">
        <v>41068</v>
      </c>
      <c r="H189" s="12">
        <v>-290.36</v>
      </c>
    </row>
    <row r="190" spans="1:8">
      <c r="A190" s="17">
        <v>41073</v>
      </c>
      <c r="B190" s="12">
        <v>-193.87</v>
      </c>
      <c r="D190" s="17">
        <v>41071</v>
      </c>
      <c r="E190" s="12">
        <v>-170.28</v>
      </c>
      <c r="G190" s="17">
        <v>41071</v>
      </c>
      <c r="H190" s="12">
        <v>-289.98</v>
      </c>
    </row>
    <row r="191" spans="1:8">
      <c r="A191" s="17">
        <v>41075</v>
      </c>
      <c r="B191" s="12">
        <v>-197.29</v>
      </c>
      <c r="D191" s="17">
        <v>41073</v>
      </c>
      <c r="E191" s="12">
        <v>-168.56</v>
      </c>
      <c r="G191" s="17">
        <v>41073</v>
      </c>
      <c r="H191" s="12">
        <v>-292.24</v>
      </c>
    </row>
    <row r="192" spans="1:8">
      <c r="A192" s="17">
        <v>41078</v>
      </c>
      <c r="B192" s="12">
        <v>-194.46</v>
      </c>
      <c r="D192" s="17">
        <v>41075</v>
      </c>
      <c r="E192" s="12">
        <v>-171.22</v>
      </c>
      <c r="G192" s="17">
        <v>41075</v>
      </c>
      <c r="H192" s="12">
        <v>-295.17</v>
      </c>
    </row>
    <row r="193" spans="1:8">
      <c r="A193" s="17">
        <v>41080</v>
      </c>
      <c r="B193" s="12">
        <v>-194.72</v>
      </c>
      <c r="D193" s="17">
        <v>41078</v>
      </c>
      <c r="E193" s="12">
        <v>-165.61</v>
      </c>
      <c r="G193" s="17">
        <v>41078</v>
      </c>
      <c r="H193" s="12">
        <v>-295.33999999999997</v>
      </c>
    </row>
    <row r="194" spans="1:8">
      <c r="A194" s="17">
        <v>41082</v>
      </c>
      <c r="B194" s="12">
        <v>-194.15</v>
      </c>
      <c r="D194" s="17">
        <v>41080</v>
      </c>
      <c r="E194" s="12">
        <v>-166.69</v>
      </c>
      <c r="G194" s="17">
        <v>41080</v>
      </c>
      <c r="H194" s="12">
        <v>-297.77999999999997</v>
      </c>
    </row>
    <row r="195" spans="1:8">
      <c r="A195" s="17">
        <v>41085</v>
      </c>
      <c r="B195" s="12">
        <v>-193.6</v>
      </c>
      <c r="D195" s="17">
        <v>41082</v>
      </c>
      <c r="E195" s="12">
        <v>-164.23</v>
      </c>
      <c r="G195" s="17">
        <v>41082</v>
      </c>
      <c r="H195" s="12">
        <v>-299.05</v>
      </c>
    </row>
    <row r="196" spans="1:8">
      <c r="A196" s="17">
        <v>41087</v>
      </c>
      <c r="B196" s="12">
        <v>-197.84</v>
      </c>
      <c r="D196" s="17">
        <v>41085</v>
      </c>
      <c r="E196" s="12">
        <v>-165.01</v>
      </c>
      <c r="G196" s="17">
        <v>41085</v>
      </c>
      <c r="H196" s="12">
        <v>-297.45999999999998</v>
      </c>
    </row>
    <row r="197" spans="1:8">
      <c r="A197" s="17">
        <v>41089</v>
      </c>
      <c r="B197" s="12">
        <v>-195.05</v>
      </c>
      <c r="D197" s="17">
        <v>41087</v>
      </c>
      <c r="E197" s="12">
        <v>-170.36</v>
      </c>
      <c r="G197" s="17">
        <v>41087</v>
      </c>
      <c r="H197" s="12">
        <v>-294.97000000000003</v>
      </c>
    </row>
    <row r="198" spans="1:8">
      <c r="A198" s="17">
        <v>41092</v>
      </c>
      <c r="B198" s="12">
        <v>-192.94</v>
      </c>
      <c r="D198" s="17">
        <v>41089</v>
      </c>
      <c r="E198" s="12">
        <v>-167.43</v>
      </c>
      <c r="G198" s="17">
        <v>41089</v>
      </c>
      <c r="H198" s="12">
        <v>-296.18</v>
      </c>
    </row>
    <row r="199" spans="1:8">
      <c r="A199" s="17">
        <v>41094</v>
      </c>
      <c r="B199" s="12">
        <v>-193.93</v>
      </c>
      <c r="D199" s="17">
        <v>41092</v>
      </c>
      <c r="E199" s="12">
        <v>-169.48</v>
      </c>
      <c r="G199" s="17">
        <v>41092</v>
      </c>
      <c r="H199" s="12">
        <v>-299.27999999999997</v>
      </c>
    </row>
    <row r="200" spans="1:8">
      <c r="A200" s="17">
        <v>41097</v>
      </c>
      <c r="B200" s="12">
        <v>-195.97</v>
      </c>
      <c r="D200" s="17">
        <v>41094</v>
      </c>
      <c r="E200" s="12">
        <v>-168.54</v>
      </c>
      <c r="G200" s="17">
        <v>41094</v>
      </c>
      <c r="H200" s="12">
        <v>-299.51</v>
      </c>
    </row>
    <row r="201" spans="1:8">
      <c r="A201" s="17">
        <v>41099</v>
      </c>
      <c r="B201" s="12">
        <v>-197.78</v>
      </c>
      <c r="D201" s="17">
        <v>41097</v>
      </c>
      <c r="E201" s="12">
        <v>-166.75</v>
      </c>
      <c r="G201" s="17">
        <v>41097</v>
      </c>
      <c r="H201" s="12">
        <v>-301.32</v>
      </c>
    </row>
    <row r="202" spans="1:8">
      <c r="A202" s="17">
        <v>41101</v>
      </c>
      <c r="B202" s="12">
        <v>-196.87</v>
      </c>
      <c r="D202" s="17">
        <v>41099</v>
      </c>
      <c r="E202" s="12">
        <v>-167.57</v>
      </c>
      <c r="G202" s="17">
        <v>41099</v>
      </c>
      <c r="H202" s="12">
        <v>-302.58</v>
      </c>
    </row>
    <row r="203" spans="1:8">
      <c r="A203" s="17">
        <v>41103</v>
      </c>
      <c r="B203" s="12">
        <v>-196.25</v>
      </c>
      <c r="D203" s="17">
        <v>41101</v>
      </c>
      <c r="E203" s="12">
        <v>-168.94</v>
      </c>
      <c r="G203" s="17">
        <v>41101</v>
      </c>
      <c r="H203" s="12">
        <v>-300.75</v>
      </c>
    </row>
    <row r="204" spans="1:8">
      <c r="A204" s="17">
        <v>41106</v>
      </c>
      <c r="B204" s="12">
        <v>-195.96</v>
      </c>
      <c r="D204" s="17">
        <v>41103</v>
      </c>
      <c r="E204" s="12">
        <v>-166.72</v>
      </c>
      <c r="G204" s="17">
        <v>41103</v>
      </c>
      <c r="H204" s="12">
        <v>-298.27</v>
      </c>
    </row>
    <row r="205" spans="1:8">
      <c r="A205" s="17">
        <v>41108</v>
      </c>
      <c r="B205" s="12">
        <v>-196.49</v>
      </c>
      <c r="D205" s="17">
        <v>41106</v>
      </c>
      <c r="E205" s="12">
        <v>-166.57</v>
      </c>
      <c r="G205" s="17">
        <v>41106</v>
      </c>
      <c r="H205" s="12">
        <v>-301.54000000000002</v>
      </c>
    </row>
    <row r="206" spans="1:8">
      <c r="A206" s="17">
        <v>41110</v>
      </c>
      <c r="B206" s="12">
        <v>-198.71</v>
      </c>
      <c r="D206" s="17">
        <v>41108</v>
      </c>
      <c r="E206" s="12">
        <v>-166.37</v>
      </c>
      <c r="G206" s="17">
        <v>41108</v>
      </c>
      <c r="H206" s="12">
        <v>-300.56</v>
      </c>
    </row>
    <row r="207" spans="1:8">
      <c r="A207" s="17">
        <v>41113</v>
      </c>
      <c r="B207" s="12">
        <v>-198.85</v>
      </c>
      <c r="D207" s="17">
        <v>41110</v>
      </c>
      <c r="E207" s="12">
        <v>-169.04</v>
      </c>
      <c r="G207" s="17">
        <v>41110</v>
      </c>
      <c r="H207" s="12">
        <v>-299.83</v>
      </c>
    </row>
    <row r="208" spans="1:8">
      <c r="A208" s="17">
        <v>41115</v>
      </c>
      <c r="B208" s="12">
        <v>-200.89</v>
      </c>
      <c r="D208" s="17">
        <v>41113</v>
      </c>
      <c r="E208" s="12">
        <v>-164.36</v>
      </c>
      <c r="G208" s="17">
        <v>41113</v>
      </c>
      <c r="H208" s="12">
        <v>-300.10000000000002</v>
      </c>
    </row>
    <row r="209" spans="1:8">
      <c r="A209" s="17">
        <v>41117</v>
      </c>
      <c r="B209" s="12">
        <v>-195.61</v>
      </c>
      <c r="D209" s="17">
        <v>41115</v>
      </c>
      <c r="E209" s="12">
        <v>-164.27</v>
      </c>
      <c r="G209" s="17">
        <v>41115</v>
      </c>
      <c r="H209" s="12">
        <v>-301.13</v>
      </c>
    </row>
    <row r="210" spans="1:8">
      <c r="A210" s="17">
        <v>41120</v>
      </c>
      <c r="B210" s="12">
        <v>-192.33</v>
      </c>
      <c r="D210" s="17">
        <v>41117</v>
      </c>
      <c r="E210" s="12">
        <v>-166.04</v>
      </c>
      <c r="G210" s="17">
        <v>41117</v>
      </c>
      <c r="H210" s="12">
        <v>-301.10000000000002</v>
      </c>
    </row>
    <row r="211" spans="1:8">
      <c r="A211" s="17">
        <v>41122</v>
      </c>
      <c r="B211" s="12">
        <v>-195.11</v>
      </c>
      <c r="D211" s="17">
        <v>41120</v>
      </c>
      <c r="E211" s="12">
        <v>-167.65</v>
      </c>
      <c r="G211" s="17">
        <v>41120</v>
      </c>
      <c r="H211" s="12">
        <v>-300.93</v>
      </c>
    </row>
    <row r="212" spans="1:8">
      <c r="A212" s="17">
        <v>41124</v>
      </c>
      <c r="B212" s="12">
        <v>-197.14</v>
      </c>
      <c r="D212" s="17">
        <v>41122</v>
      </c>
      <c r="E212" s="12">
        <v>-168.3</v>
      </c>
      <c r="G212" s="17">
        <v>41122</v>
      </c>
      <c r="H212" s="12">
        <v>-299.45999999999998</v>
      </c>
    </row>
    <row r="213" spans="1:8">
      <c r="A213" s="17">
        <v>41127</v>
      </c>
      <c r="B213" s="12">
        <v>-195.52</v>
      </c>
      <c r="D213" s="17">
        <v>41124</v>
      </c>
      <c r="E213" s="12">
        <v>-165.84</v>
      </c>
      <c r="G213" s="17">
        <v>41124</v>
      </c>
      <c r="H213" s="12">
        <v>-302.14</v>
      </c>
    </row>
    <row r="214" spans="1:8">
      <c r="A214" s="17">
        <v>41129</v>
      </c>
      <c r="B214" s="12">
        <v>-198.32</v>
      </c>
      <c r="D214" s="17">
        <v>41127</v>
      </c>
      <c r="E214" s="12">
        <v>-165.12</v>
      </c>
      <c r="G214" s="17">
        <v>41127</v>
      </c>
      <c r="H214" s="12">
        <v>-303.62</v>
      </c>
    </row>
    <row r="215" spans="1:8">
      <c r="A215" s="17">
        <v>41131</v>
      </c>
      <c r="B215" s="12">
        <v>-198.14</v>
      </c>
      <c r="D215" s="17">
        <v>41129</v>
      </c>
      <c r="E215" s="12">
        <v>-165.67</v>
      </c>
      <c r="G215" s="17">
        <v>41129</v>
      </c>
      <c r="H215" s="12">
        <v>-305.19</v>
      </c>
    </row>
    <row r="216" spans="1:8">
      <c r="A216" s="17">
        <v>41134</v>
      </c>
      <c r="B216" s="12">
        <v>-195.44</v>
      </c>
      <c r="D216" s="17">
        <v>41131</v>
      </c>
      <c r="E216" s="12">
        <v>-166.82</v>
      </c>
      <c r="G216" s="17">
        <v>41131</v>
      </c>
      <c r="H216" s="12">
        <v>-304.95999999999998</v>
      </c>
    </row>
    <row r="217" spans="1:8">
      <c r="A217" s="17">
        <v>41136</v>
      </c>
      <c r="B217" s="12">
        <v>-197.03</v>
      </c>
      <c r="D217" s="17">
        <v>41134</v>
      </c>
      <c r="E217" s="12">
        <v>-165.01</v>
      </c>
      <c r="G217" s="17">
        <v>41134</v>
      </c>
      <c r="H217" s="12">
        <v>-307.19</v>
      </c>
    </row>
    <row r="218" spans="1:8">
      <c r="A218" s="17">
        <v>41138</v>
      </c>
      <c r="B218" s="12">
        <v>-197.55</v>
      </c>
      <c r="D218" s="17">
        <v>41136</v>
      </c>
      <c r="E218" s="12">
        <v>-165.67</v>
      </c>
      <c r="G218" s="17">
        <v>41136</v>
      </c>
      <c r="H218" s="12">
        <v>-306.8</v>
      </c>
    </row>
    <row r="219" spans="1:8">
      <c r="A219" s="17">
        <v>41141</v>
      </c>
      <c r="B219" s="12">
        <v>-198.64</v>
      </c>
      <c r="D219" s="17">
        <v>41138</v>
      </c>
      <c r="E219" s="12">
        <v>-165.96</v>
      </c>
      <c r="G219" s="17">
        <v>41138</v>
      </c>
      <c r="H219" s="12">
        <v>-306.49</v>
      </c>
    </row>
    <row r="220" spans="1:8">
      <c r="A220" s="17">
        <v>41143</v>
      </c>
      <c r="B220" s="12">
        <v>-196.27</v>
      </c>
      <c r="D220" s="17">
        <v>41141</v>
      </c>
      <c r="E220" s="12">
        <v>-163.41</v>
      </c>
      <c r="G220" s="17">
        <v>41141</v>
      </c>
      <c r="H220" s="12">
        <v>-308.92</v>
      </c>
    </row>
    <row r="221" spans="1:8">
      <c r="A221" s="17">
        <v>41145</v>
      </c>
      <c r="B221" s="12">
        <v>-196.6</v>
      </c>
      <c r="D221" s="17">
        <v>41143</v>
      </c>
      <c r="E221" s="12">
        <v>-162.38</v>
      </c>
      <c r="G221" s="17">
        <v>41143</v>
      </c>
      <c r="H221" s="12">
        <v>-309.67</v>
      </c>
    </row>
    <row r="222" spans="1:8">
      <c r="A222" s="17">
        <v>41148</v>
      </c>
      <c r="B222" s="12">
        <v>-198.16</v>
      </c>
      <c r="D222" s="17">
        <v>41145</v>
      </c>
      <c r="E222" s="12">
        <v>-162.85</v>
      </c>
      <c r="G222" s="17">
        <v>41145</v>
      </c>
      <c r="H222" s="12">
        <v>-309.08</v>
      </c>
    </row>
    <row r="223" spans="1:8">
      <c r="A223" s="17">
        <v>41150</v>
      </c>
      <c r="B223" s="12">
        <v>-196.93</v>
      </c>
      <c r="D223" s="17">
        <v>41148</v>
      </c>
      <c r="E223" s="12">
        <v>-160.58000000000001</v>
      </c>
      <c r="G223" s="17">
        <v>41148</v>
      </c>
      <c r="H223" s="12">
        <v>-311.75</v>
      </c>
    </row>
    <row r="224" spans="1:8">
      <c r="A224" s="17">
        <v>41152</v>
      </c>
      <c r="B224" s="12">
        <v>-194.56</v>
      </c>
      <c r="D224" s="17">
        <v>41150</v>
      </c>
      <c r="E224" s="12">
        <v>-158.22</v>
      </c>
      <c r="G224" s="17">
        <v>41150</v>
      </c>
      <c r="H224" s="12">
        <v>-314.42</v>
      </c>
    </row>
    <row r="225" spans="1:8">
      <c r="A225" s="17">
        <v>41155</v>
      </c>
      <c r="B225" s="12">
        <v>-197.61</v>
      </c>
      <c r="D225" s="17">
        <v>41152</v>
      </c>
      <c r="E225" s="12">
        <v>-156.16999999999999</v>
      </c>
      <c r="G225" s="17">
        <v>41152</v>
      </c>
      <c r="H225" s="12">
        <v>-315.75</v>
      </c>
    </row>
    <row r="226" spans="1:8">
      <c r="A226" s="17">
        <v>41157</v>
      </c>
      <c r="B226" s="12">
        <v>-195.79</v>
      </c>
      <c r="D226" s="17">
        <v>41155</v>
      </c>
      <c r="E226" s="12">
        <v>-160.94999999999999</v>
      </c>
      <c r="G226" s="17">
        <v>41155</v>
      </c>
      <c r="H226" s="12">
        <v>-311.92</v>
      </c>
    </row>
    <row r="227" spans="1:8">
      <c r="A227" s="17">
        <v>41159</v>
      </c>
      <c r="B227" s="12">
        <v>-197.92</v>
      </c>
      <c r="D227" s="17">
        <v>41157</v>
      </c>
      <c r="E227" s="12">
        <v>-159.26</v>
      </c>
      <c r="G227" s="17">
        <v>41157</v>
      </c>
      <c r="H227" s="12">
        <v>-314.43</v>
      </c>
    </row>
    <row r="228" spans="1:8">
      <c r="A228" s="17">
        <v>41162</v>
      </c>
      <c r="B228" s="12">
        <v>-197.91</v>
      </c>
      <c r="D228" s="17">
        <v>41159</v>
      </c>
      <c r="E228" s="12">
        <v>-156.88999999999999</v>
      </c>
      <c r="G228" s="17">
        <v>41159</v>
      </c>
      <c r="H228" s="12">
        <v>-312.05</v>
      </c>
    </row>
    <row r="229" spans="1:8">
      <c r="A229" s="17">
        <v>41164</v>
      </c>
      <c r="B229" s="12">
        <v>-190.77</v>
      </c>
      <c r="D229" s="17">
        <v>41162</v>
      </c>
      <c r="E229" s="12">
        <v>-157.71</v>
      </c>
      <c r="G229" s="17">
        <v>41162</v>
      </c>
      <c r="H229" s="12">
        <v>-315.24</v>
      </c>
    </row>
    <row r="230" spans="1:8">
      <c r="A230" s="17">
        <v>41166</v>
      </c>
      <c r="B230" s="12">
        <v>-194.35</v>
      </c>
      <c r="D230" s="17">
        <v>41164</v>
      </c>
      <c r="E230" s="12">
        <v>-155.18</v>
      </c>
      <c r="G230" s="17">
        <v>41164</v>
      </c>
      <c r="H230" s="12">
        <v>-312.57</v>
      </c>
    </row>
    <row r="231" spans="1:8">
      <c r="A231" s="17">
        <v>41169</v>
      </c>
      <c r="B231" s="12">
        <v>-192.92</v>
      </c>
      <c r="D231" s="17">
        <v>41166</v>
      </c>
      <c r="E231" s="12">
        <v>-153.63</v>
      </c>
      <c r="G231" s="17">
        <v>41166</v>
      </c>
      <c r="H231" s="12">
        <v>-312.11</v>
      </c>
    </row>
    <row r="232" spans="1:8">
      <c r="A232" s="17">
        <v>41171</v>
      </c>
      <c r="B232" s="12">
        <v>-197.35</v>
      </c>
      <c r="D232" s="17">
        <v>41169</v>
      </c>
      <c r="E232" s="12">
        <v>-159.66999999999999</v>
      </c>
      <c r="G232" s="17">
        <v>41169</v>
      </c>
      <c r="H232" s="12">
        <v>-314.5</v>
      </c>
    </row>
    <row r="233" spans="1:8">
      <c r="A233" s="17">
        <v>41173</v>
      </c>
      <c r="B233" s="12">
        <v>-198.93</v>
      </c>
      <c r="D233" s="17">
        <v>41171</v>
      </c>
      <c r="E233" s="12">
        <v>-153.16</v>
      </c>
      <c r="G233" s="17">
        <v>41171</v>
      </c>
      <c r="H233" s="12">
        <v>-314.64</v>
      </c>
    </row>
    <row r="234" spans="1:8">
      <c r="A234" s="17">
        <v>41176</v>
      </c>
      <c r="B234" s="12">
        <v>-200.04</v>
      </c>
      <c r="D234" s="17">
        <v>41173</v>
      </c>
      <c r="E234" s="12">
        <v>-153.88</v>
      </c>
      <c r="G234" s="17">
        <v>41173</v>
      </c>
      <c r="H234" s="12">
        <v>-316.01</v>
      </c>
    </row>
    <row r="235" spans="1:8">
      <c r="A235" s="17">
        <v>41178</v>
      </c>
      <c r="B235" s="12">
        <v>-197.23</v>
      </c>
      <c r="D235" s="17">
        <v>41176</v>
      </c>
      <c r="E235" s="12">
        <v>-152.78</v>
      </c>
      <c r="G235" s="17">
        <v>41176</v>
      </c>
      <c r="H235" s="12">
        <v>-316.83</v>
      </c>
    </row>
    <row r="236" spans="1:8">
      <c r="A236" s="17">
        <v>41180</v>
      </c>
      <c r="B236" s="12">
        <v>-202.67</v>
      </c>
      <c r="D236" s="17">
        <v>41178</v>
      </c>
      <c r="E236" s="12">
        <v>-155.58000000000001</v>
      </c>
      <c r="G236" s="17">
        <v>41178</v>
      </c>
      <c r="H236" s="12">
        <v>-318.27</v>
      </c>
    </row>
    <row r="237" spans="1:8">
      <c r="A237" s="17">
        <v>41183</v>
      </c>
      <c r="B237" s="12">
        <v>-199.1</v>
      </c>
      <c r="D237" s="17">
        <v>41180</v>
      </c>
      <c r="E237" s="12">
        <v>-154.68</v>
      </c>
      <c r="G237" s="17">
        <v>41180</v>
      </c>
      <c r="H237" s="12">
        <v>-317.02</v>
      </c>
    </row>
    <row r="238" spans="1:8">
      <c r="A238" s="17">
        <v>41185</v>
      </c>
      <c r="B238" s="12">
        <v>-198.5</v>
      </c>
      <c r="D238" s="17">
        <v>41183</v>
      </c>
      <c r="E238" s="12">
        <v>-158.29</v>
      </c>
      <c r="G238" s="17">
        <v>41183</v>
      </c>
      <c r="H238" s="12">
        <v>-317.05</v>
      </c>
    </row>
    <row r="239" spans="1:8">
      <c r="A239" s="17">
        <v>41187</v>
      </c>
      <c r="B239" s="12">
        <v>-196.76</v>
      </c>
      <c r="D239" s="17">
        <v>41185</v>
      </c>
      <c r="E239" s="12">
        <v>-158.07</v>
      </c>
      <c r="G239" s="17">
        <v>41185</v>
      </c>
      <c r="H239" s="12">
        <v>-316.3</v>
      </c>
    </row>
    <row r="240" spans="1:8">
      <c r="A240" s="17">
        <v>41190</v>
      </c>
      <c r="B240" s="12">
        <v>-199.1</v>
      </c>
      <c r="D240" s="17">
        <v>41187</v>
      </c>
      <c r="E240" s="12">
        <v>-160.22999999999999</v>
      </c>
      <c r="G240" s="17">
        <v>41187</v>
      </c>
      <c r="H240" s="12">
        <v>-317.45</v>
      </c>
    </row>
    <row r="241" spans="1:8">
      <c r="A241" s="17">
        <v>41192</v>
      </c>
      <c r="B241" s="12">
        <v>-196.89</v>
      </c>
      <c r="D241" s="17">
        <v>41190</v>
      </c>
      <c r="E241" s="12">
        <v>-161.62</v>
      </c>
      <c r="G241" s="17">
        <v>41190</v>
      </c>
      <c r="H241" s="12">
        <v>-318.51</v>
      </c>
    </row>
    <row r="242" spans="1:8">
      <c r="A242" s="17">
        <v>41194</v>
      </c>
      <c r="B242" s="12">
        <v>-196.39</v>
      </c>
      <c r="D242" s="17">
        <v>41192</v>
      </c>
      <c r="E242" s="12">
        <v>-161.77000000000001</v>
      </c>
      <c r="G242" s="17">
        <v>41192</v>
      </c>
      <c r="H242" s="12">
        <v>-318.55</v>
      </c>
    </row>
    <row r="243" spans="1:8">
      <c r="A243" s="17">
        <v>41197</v>
      </c>
      <c r="B243" s="12">
        <v>-197.33</v>
      </c>
      <c r="D243" s="17">
        <v>41194</v>
      </c>
      <c r="E243" s="12">
        <v>-162.74</v>
      </c>
      <c r="G243" s="17">
        <v>41194</v>
      </c>
      <c r="H243" s="12">
        <v>-318.37</v>
      </c>
    </row>
    <row r="244" spans="1:8">
      <c r="A244" s="17">
        <v>41199</v>
      </c>
      <c r="B244" s="12">
        <v>-198.87</v>
      </c>
      <c r="D244" s="17">
        <v>41197</v>
      </c>
      <c r="E244" s="12">
        <v>-163.66999999999999</v>
      </c>
      <c r="G244" s="17">
        <v>41197</v>
      </c>
      <c r="H244" s="12">
        <v>-315.77999999999997</v>
      </c>
    </row>
    <row r="245" spans="1:8">
      <c r="A245" s="17">
        <v>41201</v>
      </c>
      <c r="B245" s="12">
        <v>-196.46</v>
      </c>
      <c r="D245" s="17">
        <v>41199</v>
      </c>
      <c r="E245" s="12">
        <v>-163.68</v>
      </c>
      <c r="G245" s="17">
        <v>41199</v>
      </c>
      <c r="H245" s="12">
        <v>-314.68</v>
      </c>
    </row>
    <row r="246" spans="1:8">
      <c r="A246" s="17">
        <v>41204</v>
      </c>
      <c r="B246" s="12">
        <v>-198.57</v>
      </c>
      <c r="D246" s="17">
        <v>41201</v>
      </c>
      <c r="E246" s="12">
        <v>-163.82</v>
      </c>
      <c r="G246" s="17">
        <v>41201</v>
      </c>
      <c r="H246" s="12">
        <v>-316.20999999999998</v>
      </c>
    </row>
    <row r="247" spans="1:8">
      <c r="A247" s="17">
        <v>41218</v>
      </c>
      <c r="B247" s="12">
        <v>-198.28</v>
      </c>
      <c r="D247" s="17">
        <v>41204</v>
      </c>
      <c r="E247" s="12">
        <v>-163.38</v>
      </c>
      <c r="G247" s="17">
        <v>41204</v>
      </c>
      <c r="H247" s="12">
        <v>-317</v>
      </c>
    </row>
    <row r="248" spans="1:8">
      <c r="A248" s="17">
        <v>41232</v>
      </c>
      <c r="B248" s="12">
        <v>-198.51</v>
      </c>
      <c r="D248" s="17">
        <v>41218</v>
      </c>
      <c r="E248" s="12">
        <v>-165.8</v>
      </c>
      <c r="G248" s="17">
        <v>41218</v>
      </c>
      <c r="H248" s="12">
        <v>-315.68</v>
      </c>
    </row>
    <row r="249" spans="1:8">
      <c r="A249" s="17">
        <v>41246</v>
      </c>
      <c r="B249" s="12">
        <v>-198.91</v>
      </c>
      <c r="D249" s="17">
        <v>41232</v>
      </c>
      <c r="E249" s="12">
        <v>-167.4</v>
      </c>
      <c r="G249" s="17">
        <v>41232</v>
      </c>
      <c r="H249" s="12">
        <v>-315.58999999999997</v>
      </c>
    </row>
    <row r="250" spans="1:8">
      <c r="A250" s="17">
        <v>41260</v>
      </c>
      <c r="B250" s="12">
        <v>-193.36</v>
      </c>
      <c r="D250" s="17">
        <v>41246</v>
      </c>
      <c r="E250" s="12">
        <v>-168.76</v>
      </c>
      <c r="G250" s="17">
        <v>41246</v>
      </c>
      <c r="H250" s="12">
        <v>-315.33</v>
      </c>
    </row>
    <row r="251" spans="1:8">
      <c r="A251" s="17">
        <v>41276</v>
      </c>
      <c r="B251" s="12">
        <v>-196.02</v>
      </c>
      <c r="D251" s="17">
        <v>41260</v>
      </c>
      <c r="E251" s="12">
        <v>-166.26</v>
      </c>
      <c r="G251" s="17">
        <v>41260</v>
      </c>
      <c r="H251" s="12">
        <v>-315.58999999999997</v>
      </c>
    </row>
    <row r="252" spans="1:8">
      <c r="A252" s="17">
        <v>41288</v>
      </c>
      <c r="B252" s="12">
        <v>-192.24</v>
      </c>
      <c r="D252" s="17">
        <v>41276</v>
      </c>
      <c r="E252" s="12">
        <v>-166.01</v>
      </c>
      <c r="G252" s="17">
        <v>41276</v>
      </c>
      <c r="H252" s="12">
        <v>-312.86</v>
      </c>
    </row>
    <row r="253" spans="1:8">
      <c r="A253" s="17">
        <v>41306</v>
      </c>
      <c r="B253" s="12">
        <v>-192.16</v>
      </c>
      <c r="D253" s="17">
        <v>41288</v>
      </c>
      <c r="E253" s="12">
        <v>-165.64</v>
      </c>
      <c r="G253" s="17">
        <v>41288</v>
      </c>
      <c r="H253" s="12">
        <v>-313.8</v>
      </c>
    </row>
    <row r="254" spans="1:8">
      <c r="A254" s="17">
        <v>41321</v>
      </c>
      <c r="B254" s="12">
        <v>-195.12</v>
      </c>
      <c r="D254" s="17">
        <v>41306</v>
      </c>
      <c r="E254" s="12">
        <v>-163.83000000000001</v>
      </c>
      <c r="G254" s="17">
        <v>41306</v>
      </c>
      <c r="H254" s="12">
        <v>-314.95999999999998</v>
      </c>
    </row>
    <row r="255" spans="1:8">
      <c r="A255" s="17">
        <v>41337</v>
      </c>
      <c r="B255" s="12">
        <v>-190.73</v>
      </c>
      <c r="D255" s="17">
        <v>41321</v>
      </c>
      <c r="E255" s="12">
        <v>-166.79</v>
      </c>
      <c r="G255" s="17">
        <v>41321</v>
      </c>
      <c r="H255" s="12">
        <v>-319.27999999999997</v>
      </c>
    </row>
    <row r="256" spans="1:8">
      <c r="A256" s="17">
        <v>41351</v>
      </c>
      <c r="B256" s="12">
        <v>-194.31</v>
      </c>
      <c r="D256" s="17">
        <v>41337</v>
      </c>
      <c r="E256" s="12">
        <v>-165.57</v>
      </c>
      <c r="G256" s="17">
        <v>41337</v>
      </c>
      <c r="H256" s="12">
        <v>-317.88</v>
      </c>
    </row>
    <row r="257" spans="1:11">
      <c r="A257" s="17">
        <v>41365</v>
      </c>
      <c r="B257" s="12">
        <v>-197.33</v>
      </c>
      <c r="D257" s="17">
        <v>41351</v>
      </c>
      <c r="E257" s="12">
        <v>-168.03</v>
      </c>
      <c r="G257" s="17">
        <v>41351</v>
      </c>
      <c r="H257" s="12">
        <v>-317.22000000000003</v>
      </c>
    </row>
    <row r="258" spans="1:11">
      <c r="A258" s="17">
        <v>41399</v>
      </c>
      <c r="B258" s="12">
        <v>-186.5</v>
      </c>
      <c r="D258" s="17">
        <v>41365</v>
      </c>
      <c r="E258" s="12">
        <v>-167.82</v>
      </c>
      <c r="G258" s="17">
        <v>41365</v>
      </c>
      <c r="H258" s="12">
        <v>-312.68</v>
      </c>
    </row>
    <row r="259" spans="1:11">
      <c r="A259" s="17">
        <v>41432</v>
      </c>
      <c r="B259" s="12">
        <v>-189.79</v>
      </c>
      <c r="D259" s="17">
        <v>41399</v>
      </c>
      <c r="E259" s="12">
        <v>-165.45</v>
      </c>
      <c r="G259" s="17">
        <v>41399</v>
      </c>
      <c r="H259" s="12">
        <v>-311.16000000000003</v>
      </c>
    </row>
    <row r="260" spans="1:11">
      <c r="A260" s="17">
        <v>41461</v>
      </c>
      <c r="B260" s="12">
        <v>-183.54</v>
      </c>
      <c r="D260" s="17">
        <v>41432</v>
      </c>
      <c r="E260" s="12">
        <v>-162.69999999999999</v>
      </c>
      <c r="G260" s="17">
        <v>41432</v>
      </c>
      <c r="H260" s="12">
        <v>-314.39</v>
      </c>
    </row>
    <row r="261" spans="1:11">
      <c r="A261" s="17">
        <v>41493</v>
      </c>
      <c r="B261" s="12">
        <v>-182.65</v>
      </c>
      <c r="D261" s="17">
        <v>41461</v>
      </c>
      <c r="E261" s="12">
        <v>-164.62</v>
      </c>
      <c r="G261" s="17">
        <v>41461</v>
      </c>
      <c r="H261" s="12">
        <v>-314.45</v>
      </c>
    </row>
    <row r="262" spans="1:11">
      <c r="A262" s="17">
        <v>41524</v>
      </c>
      <c r="B262" s="12">
        <v>-183.41</v>
      </c>
      <c r="D262" s="17">
        <v>41493</v>
      </c>
      <c r="E262" s="12">
        <v>-165.46</v>
      </c>
      <c r="G262" s="17">
        <v>41493</v>
      </c>
      <c r="H262" s="12">
        <v>-315.16000000000003</v>
      </c>
    </row>
    <row r="263" spans="1:11">
      <c r="A263" s="17">
        <v>41554</v>
      </c>
      <c r="B263" s="12">
        <v>-180.79</v>
      </c>
      <c r="D263" s="17">
        <v>41524</v>
      </c>
      <c r="E263" s="12">
        <v>-164.55</v>
      </c>
      <c r="G263" s="17">
        <v>41524</v>
      </c>
      <c r="H263" s="12">
        <v>-310.87</v>
      </c>
    </row>
    <row r="264" spans="1:11">
      <c r="A264" s="17"/>
      <c r="D264" s="17">
        <v>41554</v>
      </c>
      <c r="E264" s="12">
        <v>-163.44999999999999</v>
      </c>
      <c r="G264" s="17">
        <v>41554</v>
      </c>
      <c r="H264" s="12">
        <v>-314.18</v>
      </c>
    </row>
    <row r="265" spans="1:11">
      <c r="A265" s="17"/>
      <c r="D265" s="17"/>
      <c r="G265" s="17"/>
    </row>
    <row r="266" spans="1:11">
      <c r="A266" s="17"/>
      <c r="D266" s="17"/>
      <c r="G266" s="17"/>
    </row>
    <row r="267" spans="1:11">
      <c r="A267" s="17"/>
      <c r="D267" s="17"/>
      <c r="G267" s="17"/>
    </row>
    <row r="268" spans="1:11">
      <c r="A268" s="11" t="s">
        <v>110</v>
      </c>
      <c r="D268" s="17"/>
      <c r="G268" s="17"/>
    </row>
    <row r="269" spans="1:11" ht="6.75" customHeight="1">
      <c r="A269" s="17"/>
      <c r="D269" s="17"/>
      <c r="G269" s="17"/>
    </row>
    <row r="270" spans="1:11">
      <c r="A270" s="19" t="s">
        <v>48</v>
      </c>
      <c r="B270" s="15"/>
      <c r="C270" s="15"/>
      <c r="D270" s="16" t="s">
        <v>49</v>
      </c>
      <c r="G270" s="16" t="s">
        <v>50</v>
      </c>
      <c r="J270" s="19" t="s">
        <v>51</v>
      </c>
      <c r="K270" s="20"/>
    </row>
    <row r="271" spans="1:11">
      <c r="A271" s="21" t="s">
        <v>119</v>
      </c>
      <c r="B271" s="15"/>
      <c r="C271" s="15"/>
      <c r="D271" s="12" t="s">
        <v>117</v>
      </c>
      <c r="G271" s="21" t="s">
        <v>119</v>
      </c>
      <c r="J271" s="12" t="s">
        <v>117</v>
      </c>
      <c r="K271" s="20"/>
    </row>
    <row r="272" spans="1:11">
      <c r="A272" s="21" t="s">
        <v>42</v>
      </c>
      <c r="B272" s="15"/>
      <c r="C272" s="15"/>
      <c r="D272" s="12" t="s">
        <v>43</v>
      </c>
      <c r="G272" s="12" t="s">
        <v>43</v>
      </c>
      <c r="J272" s="21" t="s">
        <v>44</v>
      </c>
      <c r="K272" s="20"/>
    </row>
    <row r="273" spans="1:52">
      <c r="A273" s="13" t="s">
        <v>102</v>
      </c>
      <c r="B273" s="12" t="s">
        <v>53</v>
      </c>
      <c r="D273" s="13" t="s">
        <v>102</v>
      </c>
      <c r="E273" s="12" t="s">
        <v>53</v>
      </c>
      <c r="G273" s="13" t="s">
        <v>102</v>
      </c>
      <c r="H273" s="12" t="s">
        <v>53</v>
      </c>
      <c r="J273" s="13" t="s">
        <v>102</v>
      </c>
      <c r="K273" s="12" t="s">
        <v>53</v>
      </c>
    </row>
    <row r="274" spans="1:52" ht="6.75" customHeight="1">
      <c r="J274" s="13"/>
      <c r="K274" s="12"/>
    </row>
    <row r="275" spans="1:52">
      <c r="A275" s="22">
        <v>40653</v>
      </c>
      <c r="B275" s="15"/>
      <c r="C275" s="15"/>
      <c r="D275" s="17">
        <v>40653</v>
      </c>
      <c r="G275" s="17">
        <v>40653</v>
      </c>
      <c r="J275" s="17">
        <v>40796</v>
      </c>
      <c r="K275" s="20"/>
      <c r="N275" s="12"/>
      <c r="O275" s="12"/>
      <c r="P275" s="12"/>
      <c r="Q275" s="12"/>
    </row>
    <row r="276" spans="1:52">
      <c r="A276" s="22">
        <v>40654</v>
      </c>
      <c r="B276" s="15"/>
      <c r="C276" s="15"/>
      <c r="D276" s="17">
        <v>40654</v>
      </c>
      <c r="G276" s="17">
        <v>40654</v>
      </c>
      <c r="J276" s="17">
        <v>40797</v>
      </c>
      <c r="K276" s="20"/>
    </row>
    <row r="277" spans="1:52" s="36" customFormat="1">
      <c r="A277" s="22">
        <v>40655</v>
      </c>
      <c r="B277" s="15"/>
      <c r="C277" s="15"/>
      <c r="D277" s="17">
        <v>40655</v>
      </c>
      <c r="E277" s="12"/>
      <c r="F277" s="12"/>
      <c r="G277" s="17">
        <v>40655</v>
      </c>
      <c r="H277" s="12"/>
      <c r="I277" s="12"/>
      <c r="J277" s="17">
        <v>40799</v>
      </c>
      <c r="K277" s="20"/>
      <c r="L277" s="26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</row>
    <row r="278" spans="1:52" s="36" customFormat="1">
      <c r="A278" s="22">
        <v>40656</v>
      </c>
      <c r="B278" s="15"/>
      <c r="C278" s="15"/>
      <c r="D278" s="17">
        <v>40656</v>
      </c>
      <c r="E278" s="12"/>
      <c r="F278" s="12"/>
      <c r="G278" s="17">
        <v>40656</v>
      </c>
      <c r="H278" s="12"/>
      <c r="I278" s="12"/>
      <c r="J278" s="17">
        <v>40801</v>
      </c>
      <c r="K278" s="20"/>
      <c r="L278" s="26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</row>
    <row r="279" spans="1:52" s="36" customFormat="1">
      <c r="A279" s="22">
        <v>40657</v>
      </c>
      <c r="B279" s="15"/>
      <c r="C279" s="15"/>
      <c r="D279" s="17">
        <v>40657</v>
      </c>
      <c r="E279" s="12"/>
      <c r="F279" s="12"/>
      <c r="G279" s="17">
        <v>40657</v>
      </c>
      <c r="H279" s="12"/>
      <c r="I279" s="12"/>
      <c r="J279" s="17">
        <v>40803</v>
      </c>
      <c r="K279" s="20"/>
      <c r="L279" s="26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</row>
    <row r="280" spans="1:52" s="36" customFormat="1">
      <c r="A280" s="22">
        <v>40658</v>
      </c>
      <c r="B280" s="15"/>
      <c r="C280" s="15"/>
      <c r="D280" s="17">
        <v>40658</v>
      </c>
      <c r="E280" s="12"/>
      <c r="F280" s="12"/>
      <c r="G280" s="17">
        <v>40658</v>
      </c>
      <c r="H280" s="12"/>
      <c r="I280" s="12"/>
      <c r="J280" s="17">
        <v>40805</v>
      </c>
      <c r="K280" s="20"/>
      <c r="L280" s="26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</row>
    <row r="281" spans="1:52" s="36" customFormat="1">
      <c r="A281" s="22">
        <v>40659</v>
      </c>
      <c r="B281" s="15"/>
      <c r="C281" s="15"/>
      <c r="D281" s="17">
        <v>40659</v>
      </c>
      <c r="E281" s="12"/>
      <c r="F281" s="12"/>
      <c r="G281" s="17">
        <v>40659</v>
      </c>
      <c r="H281" s="12"/>
      <c r="I281" s="12"/>
      <c r="J281" s="17">
        <v>40807</v>
      </c>
      <c r="K281" s="20"/>
      <c r="L281" s="26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</row>
    <row r="282" spans="1:52" s="36" customFormat="1">
      <c r="A282" s="22">
        <v>40660</v>
      </c>
      <c r="B282" s="15"/>
      <c r="C282" s="15"/>
      <c r="D282" s="17">
        <v>40660</v>
      </c>
      <c r="E282" s="12"/>
      <c r="F282" s="12"/>
      <c r="G282" s="17">
        <v>40660</v>
      </c>
      <c r="H282" s="12"/>
      <c r="I282" s="12"/>
      <c r="J282" s="17">
        <v>40809</v>
      </c>
      <c r="K282" s="20"/>
      <c r="L282" s="26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</row>
    <row r="283" spans="1:52" s="36" customFormat="1">
      <c r="A283" s="22">
        <v>40661</v>
      </c>
      <c r="B283" s="15"/>
      <c r="C283" s="15"/>
      <c r="D283" s="17">
        <v>40661</v>
      </c>
      <c r="E283" s="12"/>
      <c r="F283" s="12"/>
      <c r="G283" s="17">
        <v>40661</v>
      </c>
      <c r="H283" s="12"/>
      <c r="I283" s="12"/>
      <c r="J283" s="17">
        <v>40811</v>
      </c>
      <c r="K283" s="20"/>
      <c r="L283" s="26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</row>
    <row r="284" spans="1:52" s="36" customFormat="1">
      <c r="A284" s="22">
        <v>40668</v>
      </c>
      <c r="B284" s="15"/>
      <c r="C284" s="15"/>
      <c r="D284" s="17">
        <v>40668</v>
      </c>
      <c r="E284" s="12"/>
      <c r="F284" s="12"/>
      <c r="G284" s="17">
        <v>40668</v>
      </c>
      <c r="H284" s="12"/>
      <c r="I284" s="12"/>
      <c r="J284" s="17">
        <v>40813</v>
      </c>
      <c r="K284" s="20"/>
      <c r="L284" s="26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</row>
    <row r="285" spans="1:52" s="36" customFormat="1">
      <c r="A285" s="22">
        <v>40674</v>
      </c>
      <c r="B285" s="15"/>
      <c r="C285" s="15"/>
      <c r="D285" s="17">
        <v>40674</v>
      </c>
      <c r="E285" s="12"/>
      <c r="F285" s="12"/>
      <c r="G285" s="17">
        <v>40674</v>
      </c>
      <c r="H285" s="12"/>
      <c r="I285" s="12"/>
      <c r="J285" s="17">
        <v>40815</v>
      </c>
      <c r="K285" s="20">
        <v>0</v>
      </c>
      <c r="L285" s="26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</row>
    <row r="286" spans="1:52" s="36" customFormat="1">
      <c r="A286" s="22">
        <v>40681</v>
      </c>
      <c r="B286" s="15"/>
      <c r="C286" s="15"/>
      <c r="D286" s="17">
        <v>40681</v>
      </c>
      <c r="E286" s="12"/>
      <c r="F286" s="12"/>
      <c r="G286" s="17">
        <v>40681</v>
      </c>
      <c r="H286" s="12"/>
      <c r="I286" s="12"/>
      <c r="J286" s="17">
        <v>40817</v>
      </c>
      <c r="K286" s="20">
        <f>23-22.09</f>
        <v>0.91000000000000014</v>
      </c>
      <c r="L286" s="26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</row>
    <row r="287" spans="1:52" s="36" customFormat="1">
      <c r="A287" s="22">
        <v>40686</v>
      </c>
      <c r="B287" s="15"/>
      <c r="C287" s="15"/>
      <c r="D287" s="17">
        <v>40686</v>
      </c>
      <c r="E287" s="12"/>
      <c r="F287" s="12"/>
      <c r="G287" s="17">
        <v>40686</v>
      </c>
      <c r="H287" s="12"/>
      <c r="I287" s="12"/>
      <c r="J287" s="17">
        <v>40819</v>
      </c>
      <c r="K287" s="20">
        <f>23-23.12</f>
        <v>-0.12000000000000099</v>
      </c>
      <c r="L287" s="26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</row>
    <row r="288" spans="1:52" s="36" customFormat="1">
      <c r="A288" s="22">
        <v>40688</v>
      </c>
      <c r="B288" s="15">
        <v>-0.03</v>
      </c>
      <c r="C288" s="15"/>
      <c r="D288" s="17">
        <v>40688</v>
      </c>
      <c r="E288" s="12"/>
      <c r="F288" s="12"/>
      <c r="G288" s="17">
        <v>40688</v>
      </c>
      <c r="H288" s="12"/>
      <c r="I288" s="12"/>
      <c r="J288" s="17">
        <v>40823</v>
      </c>
      <c r="K288" s="20">
        <f>23-23.2</f>
        <v>-0.19999999999999929</v>
      </c>
      <c r="L288" s="26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</row>
    <row r="289" spans="1:52" s="36" customFormat="1">
      <c r="A289" s="22">
        <v>40690</v>
      </c>
      <c r="B289" s="15">
        <v>0</v>
      </c>
      <c r="C289" s="15"/>
      <c r="D289" s="17">
        <v>40690</v>
      </c>
      <c r="E289" s="12"/>
      <c r="F289" s="12"/>
      <c r="G289" s="17">
        <v>40690</v>
      </c>
      <c r="H289" s="12"/>
      <c r="I289" s="12"/>
      <c r="J289" s="17">
        <v>40825</v>
      </c>
      <c r="K289" s="20">
        <f>23-24.01</f>
        <v>-1.0100000000000016</v>
      </c>
      <c r="L289" s="26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</row>
    <row r="290" spans="1:52" s="36" customFormat="1">
      <c r="A290" s="22">
        <v>40693</v>
      </c>
      <c r="B290" s="15">
        <v>0</v>
      </c>
      <c r="C290" s="15"/>
      <c r="D290" s="17">
        <v>40693</v>
      </c>
      <c r="E290" s="12"/>
      <c r="F290" s="12"/>
      <c r="G290" s="17">
        <v>40693</v>
      </c>
      <c r="H290" s="12"/>
      <c r="I290" s="12"/>
      <c r="J290" s="17">
        <v>40827</v>
      </c>
      <c r="K290" s="20">
        <f>23-41.45</f>
        <v>-18.450000000000003</v>
      </c>
      <c r="L290" s="26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</row>
    <row r="291" spans="1:52" s="36" customFormat="1">
      <c r="A291" s="22">
        <v>40695</v>
      </c>
      <c r="B291" s="15">
        <v>-21</v>
      </c>
      <c r="C291" s="15"/>
      <c r="D291" s="17">
        <v>40695</v>
      </c>
      <c r="E291" s="12"/>
      <c r="F291" s="12"/>
      <c r="G291" s="17">
        <v>40695</v>
      </c>
      <c r="H291" s="12"/>
      <c r="I291" s="12"/>
      <c r="J291" s="17">
        <v>40829</v>
      </c>
      <c r="K291" s="20">
        <f>23-45.83</f>
        <v>-22.83</v>
      </c>
      <c r="L291" s="26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</row>
    <row r="292" spans="1:52" s="36" customFormat="1">
      <c r="A292" s="22">
        <v>40697</v>
      </c>
      <c r="B292" s="15">
        <v>-47</v>
      </c>
      <c r="C292" s="15"/>
      <c r="D292" s="17">
        <v>40697</v>
      </c>
      <c r="E292" s="12"/>
      <c r="F292" s="12"/>
      <c r="G292" s="17">
        <v>40697</v>
      </c>
      <c r="H292" s="12"/>
      <c r="I292" s="12"/>
      <c r="J292" s="17">
        <v>40831</v>
      </c>
      <c r="K292" s="20">
        <f>23-73.66</f>
        <v>-50.66</v>
      </c>
      <c r="L292" s="26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</row>
    <row r="293" spans="1:52" s="36" customFormat="1">
      <c r="A293" s="22">
        <v>40700</v>
      </c>
      <c r="B293" s="15">
        <v>-51</v>
      </c>
      <c r="C293" s="15"/>
      <c r="D293" s="17">
        <v>40700</v>
      </c>
      <c r="E293" s="12"/>
      <c r="F293" s="12"/>
      <c r="G293" s="17">
        <v>40700</v>
      </c>
      <c r="H293" s="12"/>
      <c r="I293" s="12"/>
      <c r="J293" s="17">
        <v>40833</v>
      </c>
      <c r="K293" s="20">
        <f>23-82.71</f>
        <v>-59.709999999999994</v>
      </c>
      <c r="L293" s="26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</row>
    <row r="294" spans="1:52" s="36" customFormat="1">
      <c r="A294" s="22">
        <v>40701</v>
      </c>
      <c r="B294" s="15">
        <v>-61</v>
      </c>
      <c r="C294" s="15"/>
      <c r="D294" s="17">
        <v>40701</v>
      </c>
      <c r="E294" s="12"/>
      <c r="F294" s="12"/>
      <c r="G294" s="17">
        <v>40701</v>
      </c>
      <c r="H294" s="12"/>
      <c r="I294" s="12"/>
      <c r="J294" s="17">
        <v>40835</v>
      </c>
      <c r="K294" s="20">
        <f>23-93.89</f>
        <v>-70.89</v>
      </c>
      <c r="L294" s="26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</row>
    <row r="295" spans="1:52" s="36" customFormat="1">
      <c r="A295" s="22">
        <v>40702</v>
      </c>
      <c r="B295" s="15">
        <v>-48</v>
      </c>
      <c r="C295" s="15"/>
      <c r="D295" s="17">
        <v>40702</v>
      </c>
      <c r="E295" s="12"/>
      <c r="F295" s="12"/>
      <c r="G295" s="17">
        <v>40702</v>
      </c>
      <c r="H295" s="12"/>
      <c r="I295" s="12"/>
      <c r="J295" s="17">
        <v>40837</v>
      </c>
      <c r="K295" s="20">
        <f>23-105.07</f>
        <v>-82.07</v>
      </c>
      <c r="L295" s="26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</row>
    <row r="296" spans="1:52" s="36" customFormat="1">
      <c r="A296" s="22">
        <v>40703</v>
      </c>
      <c r="B296" s="15">
        <v>-44</v>
      </c>
      <c r="C296" s="15"/>
      <c r="D296" s="17">
        <v>40703</v>
      </c>
      <c r="E296" s="12"/>
      <c r="F296" s="12"/>
      <c r="G296" s="17">
        <v>40703</v>
      </c>
      <c r="H296" s="12"/>
      <c r="I296" s="12"/>
      <c r="J296" s="17">
        <v>40839</v>
      </c>
      <c r="K296" s="20">
        <f>23-114.99</f>
        <v>-91.99</v>
      </c>
      <c r="L296" s="26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</row>
    <row r="297" spans="1:52" s="36" customFormat="1">
      <c r="A297" s="22">
        <v>40704</v>
      </c>
      <c r="B297" s="15">
        <v>-46</v>
      </c>
      <c r="C297" s="15"/>
      <c r="D297" s="17">
        <v>40704</v>
      </c>
      <c r="E297" s="12"/>
      <c r="F297" s="12"/>
      <c r="G297" s="17">
        <v>40704</v>
      </c>
      <c r="H297" s="12"/>
      <c r="I297" s="12"/>
      <c r="J297" s="17">
        <v>40841</v>
      </c>
      <c r="K297" s="20">
        <f>23-128.89</f>
        <v>-105.88999999999999</v>
      </c>
      <c r="L297" s="26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</row>
    <row r="298" spans="1:52" s="36" customFormat="1">
      <c r="A298" s="22">
        <v>40705</v>
      </c>
      <c r="B298" s="15">
        <v>-44.7</v>
      </c>
      <c r="C298" s="15"/>
      <c r="D298" s="17">
        <v>40705</v>
      </c>
      <c r="E298" s="12"/>
      <c r="F298" s="12"/>
      <c r="G298" s="17">
        <v>40705</v>
      </c>
      <c r="H298" s="12"/>
      <c r="I298" s="12"/>
      <c r="J298" s="17">
        <v>40843</v>
      </c>
      <c r="K298" s="20">
        <f>23-140.7</f>
        <v>-117.69999999999999</v>
      </c>
      <c r="L298" s="26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</row>
    <row r="299" spans="1:52" s="36" customFormat="1">
      <c r="A299" s="22">
        <v>40706</v>
      </c>
      <c r="B299" s="15">
        <v>-47.3</v>
      </c>
      <c r="C299" s="15"/>
      <c r="D299" s="17">
        <v>40706</v>
      </c>
      <c r="E299" s="12"/>
      <c r="F299" s="12"/>
      <c r="G299" s="17">
        <v>40706</v>
      </c>
      <c r="H299" s="12"/>
      <c r="I299" s="12"/>
      <c r="J299" s="17">
        <v>40845</v>
      </c>
      <c r="K299" s="20">
        <f>23-164.35</f>
        <v>-141.35</v>
      </c>
      <c r="L299" s="26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</row>
    <row r="300" spans="1:52" s="36" customFormat="1">
      <c r="A300" s="22">
        <v>40707</v>
      </c>
      <c r="B300" s="15">
        <v>-41.2</v>
      </c>
      <c r="C300" s="15"/>
      <c r="D300" s="17">
        <v>40707</v>
      </c>
      <c r="E300" s="12"/>
      <c r="F300" s="12"/>
      <c r="G300" s="17">
        <v>40707</v>
      </c>
      <c r="H300" s="12"/>
      <c r="I300" s="12"/>
      <c r="J300" s="17">
        <v>40847</v>
      </c>
      <c r="K300" s="20">
        <f>23-172.62</f>
        <v>-149.62</v>
      </c>
      <c r="L300" s="26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</row>
    <row r="301" spans="1:52" s="36" customFormat="1">
      <c r="A301" s="22">
        <v>40708</v>
      </c>
      <c r="B301" s="15">
        <v>-44.4</v>
      </c>
      <c r="C301" s="15"/>
      <c r="D301" s="17">
        <v>40708</v>
      </c>
      <c r="E301" s="12"/>
      <c r="F301" s="12"/>
      <c r="G301" s="17">
        <v>40708</v>
      </c>
      <c r="H301" s="12"/>
      <c r="I301" s="12"/>
      <c r="J301" s="17">
        <v>40849</v>
      </c>
      <c r="K301" s="20">
        <f>23-182.69</f>
        <v>-159.69</v>
      </c>
      <c r="L301" s="26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</row>
    <row r="302" spans="1:52" s="36" customFormat="1">
      <c r="A302" s="22">
        <v>40709</v>
      </c>
      <c r="B302" s="15">
        <v>-45.2</v>
      </c>
      <c r="C302" s="15"/>
      <c r="D302" s="17">
        <v>40709</v>
      </c>
      <c r="E302" s="12"/>
      <c r="F302" s="12"/>
      <c r="G302" s="17">
        <v>40709</v>
      </c>
      <c r="H302" s="12"/>
      <c r="I302" s="12"/>
      <c r="J302" s="17">
        <v>40851</v>
      </c>
      <c r="K302" s="20">
        <f>23-185.88</f>
        <v>-162.88</v>
      </c>
      <c r="L302" s="26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</row>
    <row r="303" spans="1:52" s="36" customFormat="1">
      <c r="A303" s="22">
        <v>40710</v>
      </c>
      <c r="B303" s="15">
        <v>-50.6</v>
      </c>
      <c r="C303" s="15"/>
      <c r="D303" s="17">
        <v>40710</v>
      </c>
      <c r="E303" s="12"/>
      <c r="F303" s="12"/>
      <c r="G303" s="17">
        <v>40710</v>
      </c>
      <c r="H303" s="12"/>
      <c r="I303" s="12"/>
      <c r="J303" s="17">
        <v>40854</v>
      </c>
      <c r="K303" s="20">
        <f>23-188.19</f>
        <v>-165.19</v>
      </c>
      <c r="L303" s="26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</row>
    <row r="304" spans="1:52" s="36" customFormat="1">
      <c r="A304" s="22">
        <v>40711</v>
      </c>
      <c r="B304" s="15">
        <v>-56.2</v>
      </c>
      <c r="C304" s="15"/>
      <c r="D304" s="17">
        <v>40711</v>
      </c>
      <c r="E304" s="12"/>
      <c r="F304" s="12"/>
      <c r="G304" s="17">
        <v>40711</v>
      </c>
      <c r="H304" s="12"/>
      <c r="I304" s="12"/>
      <c r="J304" s="17">
        <v>40856</v>
      </c>
      <c r="K304" s="20">
        <f>23-190.1</f>
        <v>-167.1</v>
      </c>
      <c r="L304" s="2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</row>
    <row r="305" spans="1:52" s="36" customFormat="1">
      <c r="A305" s="22">
        <v>40712</v>
      </c>
      <c r="B305" s="15">
        <v>-93.6</v>
      </c>
      <c r="C305" s="23"/>
      <c r="D305" s="17">
        <v>40712</v>
      </c>
      <c r="E305" s="12"/>
      <c r="F305" s="12"/>
      <c r="G305" s="17">
        <v>40712</v>
      </c>
      <c r="H305" s="12"/>
      <c r="I305" s="12"/>
      <c r="J305" s="17">
        <v>40858</v>
      </c>
      <c r="K305" s="20">
        <f>23-187</f>
        <v>-164</v>
      </c>
      <c r="L305" s="26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</row>
    <row r="306" spans="1:52" s="36" customFormat="1">
      <c r="A306" s="22">
        <v>40713</v>
      </c>
      <c r="B306" s="15">
        <v>-100</v>
      </c>
      <c r="C306" s="15"/>
      <c r="D306" s="17">
        <v>40713</v>
      </c>
      <c r="E306" s="12"/>
      <c r="F306" s="12"/>
      <c r="G306" s="17">
        <v>40713</v>
      </c>
      <c r="H306" s="12"/>
      <c r="I306" s="12"/>
      <c r="J306" s="17">
        <v>40861</v>
      </c>
      <c r="K306" s="20">
        <f>23-189.17</f>
        <v>-166.17</v>
      </c>
      <c r="L306" s="26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</row>
    <row r="307" spans="1:52" s="36" customFormat="1">
      <c r="A307" s="22">
        <v>40714</v>
      </c>
      <c r="B307" s="15">
        <v>-98.8</v>
      </c>
      <c r="C307" s="15"/>
      <c r="D307" s="17">
        <v>40714</v>
      </c>
      <c r="E307" s="12"/>
      <c r="F307" s="12"/>
      <c r="G307" s="17">
        <v>40714</v>
      </c>
      <c r="H307" s="12"/>
      <c r="I307" s="12"/>
      <c r="J307" s="17">
        <v>40863</v>
      </c>
      <c r="K307" s="20">
        <f>23-289.65</f>
        <v>-266.64999999999998</v>
      </c>
      <c r="L307" s="26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</row>
    <row r="308" spans="1:52" s="36" customFormat="1">
      <c r="A308" s="22">
        <v>40715</v>
      </c>
      <c r="B308" s="15">
        <v>-92.7</v>
      </c>
      <c r="C308" s="15"/>
      <c r="D308" s="17">
        <v>40715</v>
      </c>
      <c r="E308" s="12"/>
      <c r="F308" s="12"/>
      <c r="G308" s="17">
        <v>40715</v>
      </c>
      <c r="H308" s="12"/>
      <c r="I308" s="12"/>
      <c r="J308" s="17">
        <v>40865</v>
      </c>
      <c r="K308" s="20">
        <f>23-290</f>
        <v>-267</v>
      </c>
      <c r="L308" s="26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</row>
    <row r="309" spans="1:52" s="36" customFormat="1">
      <c r="A309" s="22">
        <v>40716</v>
      </c>
      <c r="B309" s="15">
        <v>-97.9</v>
      </c>
      <c r="C309" s="15"/>
      <c r="D309" s="17">
        <v>40716</v>
      </c>
      <c r="E309" s="12"/>
      <c r="F309" s="12"/>
      <c r="G309" s="17">
        <v>40716</v>
      </c>
      <c r="H309" s="12"/>
      <c r="I309" s="12"/>
      <c r="J309" s="17">
        <v>40868</v>
      </c>
      <c r="K309" s="20">
        <f>23-297</f>
        <v>-274</v>
      </c>
      <c r="L309" s="26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</row>
    <row r="310" spans="1:52" s="36" customFormat="1">
      <c r="A310" s="22">
        <v>40717</v>
      </c>
      <c r="B310" s="15">
        <v>-101.6</v>
      </c>
      <c r="C310" s="15"/>
      <c r="D310" s="17">
        <v>40717</v>
      </c>
      <c r="E310" s="12"/>
      <c r="F310" s="12"/>
      <c r="G310" s="17">
        <v>40717</v>
      </c>
      <c r="H310" s="12"/>
      <c r="I310" s="12"/>
      <c r="J310" s="17">
        <v>40870</v>
      </c>
      <c r="K310" s="20">
        <f>23-298.78</f>
        <v>-275.77999999999997</v>
      </c>
      <c r="L310" s="26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</row>
    <row r="311" spans="1:52" s="36" customFormat="1">
      <c r="A311" s="22">
        <v>40718</v>
      </c>
      <c r="B311" s="15">
        <v>-108</v>
      </c>
      <c r="C311" s="15"/>
      <c r="D311" s="17">
        <v>40718</v>
      </c>
      <c r="E311" s="12"/>
      <c r="F311" s="12"/>
      <c r="G311" s="17">
        <v>40718</v>
      </c>
      <c r="H311" s="12"/>
      <c r="I311" s="12"/>
      <c r="J311" s="17">
        <v>40872</v>
      </c>
      <c r="K311" s="20">
        <f>23-300</f>
        <v>-277</v>
      </c>
      <c r="L311" s="26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</row>
    <row r="312" spans="1:52" s="36" customFormat="1">
      <c r="A312" s="22">
        <v>40719</v>
      </c>
      <c r="B312" s="15">
        <v>-103</v>
      </c>
      <c r="C312" s="15"/>
      <c r="D312" s="17">
        <v>40719</v>
      </c>
      <c r="E312" s="12"/>
      <c r="F312" s="12"/>
      <c r="G312" s="17">
        <v>40719</v>
      </c>
      <c r="H312" s="12"/>
      <c r="I312" s="12"/>
      <c r="J312" s="17">
        <v>40877</v>
      </c>
      <c r="K312" s="20">
        <f>23-407.6</f>
        <v>-384.6</v>
      </c>
      <c r="L312" s="26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</row>
    <row r="313" spans="1:52" s="36" customFormat="1">
      <c r="A313" s="22">
        <v>40720</v>
      </c>
      <c r="B313" s="15">
        <v>-108.5</v>
      </c>
      <c r="C313" s="15"/>
      <c r="D313" s="17">
        <v>40720</v>
      </c>
      <c r="E313" s="12"/>
      <c r="F313" s="12"/>
      <c r="G313" s="17">
        <v>40720</v>
      </c>
      <c r="H313" s="12"/>
      <c r="I313" s="12"/>
      <c r="J313" s="17">
        <v>40879</v>
      </c>
      <c r="K313" s="20">
        <f>23-406.44</f>
        <v>-383.44</v>
      </c>
      <c r="L313" s="26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</row>
    <row r="314" spans="1:52" s="36" customFormat="1">
      <c r="A314" s="22">
        <v>40721</v>
      </c>
      <c r="B314" s="15">
        <v>-104</v>
      </c>
      <c r="C314" s="15"/>
      <c r="D314" s="17">
        <v>40721</v>
      </c>
      <c r="E314" s="12"/>
      <c r="F314" s="12"/>
      <c r="G314" s="17">
        <v>40721</v>
      </c>
      <c r="H314" s="12"/>
      <c r="I314" s="12"/>
      <c r="J314" s="17">
        <v>40880</v>
      </c>
      <c r="K314" s="20">
        <f>23-404.56</f>
        <v>-381.56</v>
      </c>
      <c r="L314" s="26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</row>
    <row r="315" spans="1:52" s="36" customFormat="1">
      <c r="A315" s="22">
        <v>40722</v>
      </c>
      <c r="B315" s="15">
        <v>-108</v>
      </c>
      <c r="C315" s="15"/>
      <c r="D315" s="17">
        <v>40722</v>
      </c>
      <c r="E315" s="12"/>
      <c r="F315" s="12"/>
      <c r="G315" s="17">
        <v>40722</v>
      </c>
      <c r="H315" s="12"/>
      <c r="I315" s="12"/>
      <c r="J315" s="17">
        <v>40881</v>
      </c>
      <c r="K315" s="20">
        <f>23-406.29</f>
        <v>-383.29</v>
      </c>
      <c r="L315" s="26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</row>
    <row r="316" spans="1:52" s="36" customFormat="1">
      <c r="A316" s="22">
        <v>40723</v>
      </c>
      <c r="B316" s="15">
        <v>-113</v>
      </c>
      <c r="C316" s="15"/>
      <c r="D316" s="17">
        <v>40723</v>
      </c>
      <c r="E316" s="12"/>
      <c r="F316" s="12"/>
      <c r="G316" s="17">
        <v>40723</v>
      </c>
      <c r="H316" s="12"/>
      <c r="I316" s="12"/>
      <c r="J316" s="17">
        <v>40882</v>
      </c>
      <c r="K316" s="24">
        <f>23-406.2</f>
        <v>-383.2</v>
      </c>
      <c r="L316" s="26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</row>
    <row r="317" spans="1:52" s="36" customFormat="1">
      <c r="A317" s="22">
        <v>40725</v>
      </c>
      <c r="B317" s="15">
        <v>-119.3</v>
      </c>
      <c r="C317" s="15"/>
      <c r="D317" s="17">
        <v>40725</v>
      </c>
      <c r="E317" s="12"/>
      <c r="F317" s="12"/>
      <c r="G317" s="17">
        <v>40725</v>
      </c>
      <c r="H317" s="12"/>
      <c r="I317" s="12"/>
      <c r="J317" s="17">
        <v>40883</v>
      </c>
      <c r="K317" s="20">
        <f>23-407.5</f>
        <v>-384.5</v>
      </c>
      <c r="L317" s="26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</row>
    <row r="318" spans="1:52" s="36" customFormat="1">
      <c r="A318" s="22">
        <v>40726</v>
      </c>
      <c r="B318" s="15">
        <v>-145</v>
      </c>
      <c r="C318" s="15"/>
      <c r="D318" s="17">
        <v>40728</v>
      </c>
      <c r="E318" s="12"/>
      <c r="F318" s="12"/>
      <c r="G318" s="17">
        <v>40728</v>
      </c>
      <c r="H318" s="12"/>
      <c r="I318" s="12"/>
      <c r="J318" s="17">
        <v>40884</v>
      </c>
      <c r="K318" s="20">
        <f>23-403</f>
        <v>-380</v>
      </c>
      <c r="L318" s="26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</row>
    <row r="319" spans="1:52" s="36" customFormat="1">
      <c r="A319" s="22">
        <v>40727</v>
      </c>
      <c r="B319" s="15">
        <v>-144</v>
      </c>
      <c r="C319" s="15"/>
      <c r="D319" s="17">
        <v>40729</v>
      </c>
      <c r="E319" s="12"/>
      <c r="F319" s="12"/>
      <c r="G319" s="17">
        <v>40729</v>
      </c>
      <c r="H319" s="12"/>
      <c r="I319" s="12"/>
      <c r="J319" s="17">
        <v>40885</v>
      </c>
      <c r="K319" s="20">
        <f>23-403</f>
        <v>-380</v>
      </c>
      <c r="L319" s="26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</row>
    <row r="320" spans="1:52" s="36" customFormat="1">
      <c r="A320" s="22">
        <v>40728</v>
      </c>
      <c r="B320" s="15">
        <v>-126</v>
      </c>
      <c r="C320" s="15"/>
      <c r="D320" s="17">
        <v>40730</v>
      </c>
      <c r="E320" s="12"/>
      <c r="F320" s="12"/>
      <c r="G320" s="17">
        <v>40730</v>
      </c>
      <c r="H320" s="12"/>
      <c r="I320" s="12"/>
      <c r="J320" s="17">
        <v>40886</v>
      </c>
      <c r="K320" s="20">
        <f>23-406.6</f>
        <v>-383.6</v>
      </c>
      <c r="L320" s="26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</row>
    <row r="321" spans="1:52" s="36" customFormat="1">
      <c r="A321" s="22">
        <v>40729</v>
      </c>
      <c r="B321" s="15">
        <v>-122</v>
      </c>
      <c r="C321" s="15"/>
      <c r="D321" s="17">
        <v>40731</v>
      </c>
      <c r="E321" s="12"/>
      <c r="F321" s="12"/>
      <c r="G321" s="17">
        <v>40731</v>
      </c>
      <c r="H321" s="12"/>
      <c r="I321" s="12"/>
      <c r="J321" s="17">
        <v>40887</v>
      </c>
      <c r="K321" s="20">
        <f>23-403.9</f>
        <v>-380.9</v>
      </c>
      <c r="L321" s="26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</row>
    <row r="322" spans="1:52" s="36" customFormat="1">
      <c r="A322" s="22">
        <v>40730</v>
      </c>
      <c r="B322" s="15">
        <v>-136</v>
      </c>
      <c r="C322" s="15"/>
      <c r="D322" s="17">
        <v>40732</v>
      </c>
      <c r="E322" s="12"/>
      <c r="F322" s="12"/>
      <c r="G322" s="17">
        <v>40732</v>
      </c>
      <c r="H322" s="12"/>
      <c r="I322" s="12"/>
      <c r="J322" s="17">
        <v>40888</v>
      </c>
      <c r="K322" s="20">
        <f>23-400.2</f>
        <v>-377.2</v>
      </c>
      <c r="L322" s="26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</row>
    <row r="323" spans="1:52" s="36" customFormat="1">
      <c r="A323" s="22">
        <v>40731</v>
      </c>
      <c r="B323" s="15">
        <v>-118</v>
      </c>
      <c r="C323" s="15"/>
      <c r="D323" s="17">
        <v>40733</v>
      </c>
      <c r="E323" s="12"/>
      <c r="F323" s="12"/>
      <c r="G323" s="17">
        <v>40733</v>
      </c>
      <c r="H323" s="12"/>
      <c r="I323" s="12"/>
      <c r="J323" s="17">
        <v>40889</v>
      </c>
      <c r="K323" s="20">
        <f>23-399.2</f>
        <v>-376.2</v>
      </c>
      <c r="L323" s="26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</row>
    <row r="324" spans="1:52" s="36" customFormat="1">
      <c r="A324" s="22">
        <v>40732</v>
      </c>
      <c r="B324" s="15">
        <v>-139</v>
      </c>
      <c r="C324" s="15"/>
      <c r="D324" s="17">
        <v>40735</v>
      </c>
      <c r="E324" s="12"/>
      <c r="F324" s="12"/>
      <c r="G324" s="17">
        <v>40735</v>
      </c>
      <c r="H324" s="12"/>
      <c r="I324" s="12"/>
      <c r="J324" s="17">
        <v>40890</v>
      </c>
      <c r="K324" s="20">
        <f>23-398.4</f>
        <v>-375.4</v>
      </c>
      <c r="L324" s="26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</row>
    <row r="325" spans="1:52" s="36" customFormat="1">
      <c r="A325" s="22">
        <v>40735</v>
      </c>
      <c r="B325" s="15">
        <v>-119</v>
      </c>
      <c r="C325" s="15"/>
      <c r="D325" s="17">
        <v>40737</v>
      </c>
      <c r="E325" s="12"/>
      <c r="F325" s="12"/>
      <c r="G325" s="17">
        <v>40737</v>
      </c>
      <c r="H325" s="12"/>
      <c r="I325" s="12"/>
      <c r="J325" s="17">
        <v>40891</v>
      </c>
      <c r="K325" s="24">
        <f>23-399.7</f>
        <v>-376.7</v>
      </c>
      <c r="L325" s="26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</row>
    <row r="326" spans="1:52" s="36" customFormat="1">
      <c r="A326" s="22">
        <v>40737</v>
      </c>
      <c r="B326" s="15">
        <v>-115</v>
      </c>
      <c r="C326" s="15"/>
      <c r="D326" s="17">
        <v>40739</v>
      </c>
      <c r="E326" s="12"/>
      <c r="F326" s="12"/>
      <c r="G326" s="17">
        <v>40739</v>
      </c>
      <c r="H326" s="12"/>
      <c r="I326" s="12"/>
      <c r="J326" s="17">
        <v>40892</v>
      </c>
      <c r="K326" s="20">
        <f>23-398.8</f>
        <v>-375.8</v>
      </c>
      <c r="L326" s="26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</row>
    <row r="327" spans="1:52" s="36" customFormat="1">
      <c r="A327" s="22">
        <v>40739</v>
      </c>
      <c r="B327" s="15">
        <v>-117.8</v>
      </c>
      <c r="C327" s="15"/>
      <c r="D327" s="17">
        <v>40741</v>
      </c>
      <c r="E327" s="12"/>
      <c r="F327" s="12"/>
      <c r="G327" s="17">
        <v>40741</v>
      </c>
      <c r="H327" s="12"/>
      <c r="I327" s="12"/>
      <c r="J327" s="17">
        <v>40893</v>
      </c>
      <c r="K327" s="20">
        <f>23-397.71</f>
        <v>-374.71</v>
      </c>
      <c r="L327" s="26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</row>
    <row r="328" spans="1:52" s="36" customFormat="1">
      <c r="A328" s="22">
        <v>40741</v>
      </c>
      <c r="B328" s="15">
        <v>-122.8</v>
      </c>
      <c r="C328" s="15"/>
      <c r="D328" s="17">
        <v>40743</v>
      </c>
      <c r="E328" s="12"/>
      <c r="F328" s="12"/>
      <c r="G328" s="17">
        <v>40743</v>
      </c>
      <c r="H328" s="12"/>
      <c r="I328" s="12"/>
      <c r="J328" s="17">
        <v>40894</v>
      </c>
      <c r="K328" s="20">
        <f>23-397.03</f>
        <v>-374.03</v>
      </c>
      <c r="L328" s="26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</row>
    <row r="329" spans="1:52" s="36" customFormat="1">
      <c r="A329" s="22">
        <v>40743</v>
      </c>
      <c r="B329" s="15">
        <v>-123.5</v>
      </c>
      <c r="C329" s="15"/>
      <c r="D329" s="17">
        <v>40745</v>
      </c>
      <c r="E329" s="12"/>
      <c r="F329" s="12"/>
      <c r="G329" s="17">
        <v>40745</v>
      </c>
      <c r="H329" s="12"/>
      <c r="I329" s="12"/>
      <c r="J329" s="17">
        <v>40895</v>
      </c>
      <c r="K329" s="20">
        <f>23-398.95</f>
        <v>-375.95</v>
      </c>
      <c r="L329" s="26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</row>
    <row r="330" spans="1:52" s="36" customFormat="1">
      <c r="A330" s="22">
        <v>40745</v>
      </c>
      <c r="B330" s="15">
        <v>-113.2</v>
      </c>
      <c r="C330" s="15"/>
      <c r="D330" s="17">
        <v>40747</v>
      </c>
      <c r="E330" s="12"/>
      <c r="F330" s="12"/>
      <c r="G330" s="17">
        <v>40747</v>
      </c>
      <c r="H330" s="12"/>
      <c r="I330" s="12"/>
      <c r="J330" s="17">
        <v>40896</v>
      </c>
      <c r="K330" s="20">
        <f>23-394.99</f>
        <v>-371.99</v>
      </c>
      <c r="L330" s="26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</row>
    <row r="331" spans="1:52" s="36" customFormat="1">
      <c r="A331" s="22">
        <v>40749</v>
      </c>
      <c r="B331" s="15">
        <v>-109.9</v>
      </c>
      <c r="C331" s="15"/>
      <c r="D331" s="17">
        <v>40749</v>
      </c>
      <c r="E331" s="12"/>
      <c r="F331" s="12"/>
      <c r="G331" s="17">
        <v>40749</v>
      </c>
      <c r="H331" s="12"/>
      <c r="I331" s="12"/>
      <c r="J331" s="17">
        <v>40897</v>
      </c>
      <c r="K331" s="20">
        <f>23-400.41</f>
        <v>-377.41</v>
      </c>
      <c r="L331" s="26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</row>
    <row r="332" spans="1:52" s="36" customFormat="1">
      <c r="A332" s="22">
        <v>40751</v>
      </c>
      <c r="B332" s="15">
        <v>-112.4</v>
      </c>
      <c r="C332" s="15"/>
      <c r="D332" s="17">
        <v>40751</v>
      </c>
      <c r="E332" s="12"/>
      <c r="F332" s="12"/>
      <c r="G332" s="17">
        <v>40751</v>
      </c>
      <c r="H332" s="12"/>
      <c r="I332" s="12"/>
      <c r="J332" s="17">
        <v>40898</v>
      </c>
      <c r="K332" s="20">
        <f>23-407.98</f>
        <v>-384.98</v>
      </c>
      <c r="L332" s="26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</row>
    <row r="333" spans="1:52" s="36" customFormat="1">
      <c r="A333" s="22">
        <v>40753</v>
      </c>
      <c r="B333" s="15">
        <v>-125.1</v>
      </c>
      <c r="C333" s="15"/>
      <c r="D333" s="17">
        <v>40753</v>
      </c>
      <c r="E333" s="12"/>
      <c r="F333" s="12"/>
      <c r="G333" s="17">
        <v>40753</v>
      </c>
      <c r="H333" s="12"/>
      <c r="I333" s="12"/>
      <c r="J333" s="17">
        <v>40899</v>
      </c>
      <c r="K333" s="20">
        <f>23-403</f>
        <v>-380</v>
      </c>
      <c r="L333" s="26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</row>
    <row r="334" spans="1:52" s="36" customFormat="1">
      <c r="A334" s="22">
        <v>40755</v>
      </c>
      <c r="B334" s="15">
        <v>-122.9</v>
      </c>
      <c r="C334" s="15"/>
      <c r="D334" s="17">
        <v>40755</v>
      </c>
      <c r="E334" s="12"/>
      <c r="F334" s="12"/>
      <c r="G334" s="17">
        <v>40755</v>
      </c>
      <c r="H334" s="12"/>
      <c r="I334" s="12"/>
      <c r="J334" s="17">
        <v>40900</v>
      </c>
      <c r="K334" s="20">
        <f>23-399.9</f>
        <v>-376.9</v>
      </c>
      <c r="L334" s="26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</row>
    <row r="335" spans="1:52" s="36" customFormat="1">
      <c r="A335" s="22">
        <v>40757</v>
      </c>
      <c r="B335" s="15">
        <v>-120</v>
      </c>
      <c r="C335" s="15"/>
      <c r="D335" s="17">
        <v>40757</v>
      </c>
      <c r="E335" s="12"/>
      <c r="F335" s="12"/>
      <c r="G335" s="17">
        <v>40757</v>
      </c>
      <c r="H335" s="12"/>
      <c r="I335" s="12"/>
      <c r="J335" s="17">
        <v>40901</v>
      </c>
      <c r="K335" s="20">
        <f>23-398.68</f>
        <v>-375.68</v>
      </c>
      <c r="L335" s="26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</row>
    <row r="336" spans="1:52" s="36" customFormat="1">
      <c r="A336" s="22">
        <v>40761</v>
      </c>
      <c r="B336" s="15">
        <v>-117</v>
      </c>
      <c r="C336" s="15"/>
      <c r="D336" s="17">
        <v>40759</v>
      </c>
      <c r="E336" s="12"/>
      <c r="F336" s="12"/>
      <c r="G336" s="17">
        <v>40759</v>
      </c>
      <c r="H336" s="12"/>
      <c r="I336" s="12"/>
      <c r="J336" s="17">
        <v>40902</v>
      </c>
      <c r="K336" s="20">
        <f>23-404.18</f>
        <v>-381.18</v>
      </c>
      <c r="L336" s="26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</row>
    <row r="337" spans="1:52" s="36" customFormat="1">
      <c r="A337" s="22">
        <v>40763</v>
      </c>
      <c r="B337" s="15">
        <v>-114.6</v>
      </c>
      <c r="C337" s="15"/>
      <c r="D337" s="17">
        <v>40761</v>
      </c>
      <c r="E337" s="12"/>
      <c r="F337" s="12"/>
      <c r="G337" s="17">
        <v>40761</v>
      </c>
      <c r="H337" s="12"/>
      <c r="I337" s="12"/>
      <c r="J337" s="17">
        <v>40903</v>
      </c>
      <c r="K337" s="20">
        <f>23-401.63</f>
        <v>-378.63</v>
      </c>
      <c r="L337" s="26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</row>
    <row r="338" spans="1:52" s="36" customFormat="1">
      <c r="A338" s="22">
        <v>40765</v>
      </c>
      <c r="B338" s="15">
        <v>-114</v>
      </c>
      <c r="C338" s="15"/>
      <c r="D338" s="17">
        <v>40763</v>
      </c>
      <c r="E338" s="12"/>
      <c r="F338" s="12"/>
      <c r="G338" s="17">
        <v>40763</v>
      </c>
      <c r="H338" s="12"/>
      <c r="I338" s="12"/>
      <c r="J338" s="17">
        <v>40904</v>
      </c>
      <c r="K338" s="20">
        <f>23-409.63</f>
        <v>-386.63</v>
      </c>
      <c r="L338" s="26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</row>
    <row r="339" spans="1:52" s="36" customFormat="1">
      <c r="A339" s="22">
        <v>40767</v>
      </c>
      <c r="B339" s="15">
        <v>-109.4</v>
      </c>
      <c r="C339" s="15"/>
      <c r="D339" s="17">
        <v>40765</v>
      </c>
      <c r="E339" s="12"/>
      <c r="F339" s="12"/>
      <c r="G339" s="17">
        <v>40765</v>
      </c>
      <c r="H339" s="12"/>
      <c r="I339" s="12"/>
      <c r="J339" s="17">
        <v>40905</v>
      </c>
      <c r="K339" s="20">
        <f>23-407.07</f>
        <v>-384.07</v>
      </c>
      <c r="L339" s="26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</row>
    <row r="340" spans="1:52" s="36" customFormat="1">
      <c r="A340" s="22">
        <v>40769</v>
      </c>
      <c r="B340" s="15">
        <v>-123.2</v>
      </c>
      <c r="C340" s="15"/>
      <c r="D340" s="17">
        <v>40767</v>
      </c>
      <c r="E340" s="12"/>
      <c r="F340" s="12"/>
      <c r="G340" s="17">
        <v>40767</v>
      </c>
      <c r="H340" s="12"/>
      <c r="I340" s="12"/>
      <c r="J340" s="17">
        <v>40906</v>
      </c>
      <c r="K340" s="20">
        <f>23-408.17</f>
        <v>-385.17</v>
      </c>
      <c r="L340" s="26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</row>
    <row r="341" spans="1:52" s="36" customFormat="1">
      <c r="A341" s="22">
        <v>40773</v>
      </c>
      <c r="B341" s="15">
        <v>-118.8</v>
      </c>
      <c r="C341" s="15"/>
      <c r="D341" s="17">
        <v>40769</v>
      </c>
      <c r="E341" s="12"/>
      <c r="F341" s="12"/>
      <c r="G341" s="17">
        <v>40769</v>
      </c>
      <c r="H341" s="12"/>
      <c r="I341" s="12"/>
      <c r="J341" s="17">
        <v>40907</v>
      </c>
      <c r="K341" s="20">
        <f>23-407.3</f>
        <v>-384.3</v>
      </c>
      <c r="L341" s="26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</row>
    <row r="342" spans="1:52" s="36" customFormat="1">
      <c r="A342" s="22">
        <v>40775</v>
      </c>
      <c r="B342" s="15">
        <v>-120.2</v>
      </c>
      <c r="C342" s="15"/>
      <c r="D342" s="17">
        <v>40771</v>
      </c>
      <c r="E342" s="12"/>
      <c r="F342" s="12"/>
      <c r="G342" s="17">
        <v>40771</v>
      </c>
      <c r="H342" s="12"/>
      <c r="I342" s="12"/>
      <c r="J342" s="17">
        <v>40908</v>
      </c>
      <c r="K342" s="20">
        <f>23-409</f>
        <v>-386</v>
      </c>
      <c r="L342" s="26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</row>
    <row r="343" spans="1:52" s="36" customFormat="1">
      <c r="A343" s="22">
        <v>40777</v>
      </c>
      <c r="B343" s="15">
        <v>-122.4</v>
      </c>
      <c r="C343" s="15"/>
      <c r="D343" s="17">
        <v>40773</v>
      </c>
      <c r="E343" s="12"/>
      <c r="F343" s="12"/>
      <c r="G343" s="17">
        <v>40773</v>
      </c>
      <c r="H343" s="12"/>
      <c r="I343" s="12"/>
      <c r="J343" s="17">
        <v>40910</v>
      </c>
      <c r="K343" s="20">
        <f>23-409.9</f>
        <v>-386.9</v>
      </c>
      <c r="L343" s="26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</row>
    <row r="344" spans="1:52" s="36" customFormat="1">
      <c r="A344" s="22">
        <v>40779</v>
      </c>
      <c r="B344" s="15">
        <v>-126.7</v>
      </c>
      <c r="C344" s="15"/>
      <c r="D344" s="17">
        <v>40775</v>
      </c>
      <c r="E344" s="12"/>
      <c r="F344" s="12"/>
      <c r="G344" s="17">
        <v>40775</v>
      </c>
      <c r="H344" s="12"/>
      <c r="I344" s="12"/>
      <c r="J344" s="17">
        <v>40911</v>
      </c>
      <c r="K344" s="20">
        <f>23-408.59</f>
        <v>-385.59</v>
      </c>
      <c r="L344" s="26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</row>
    <row r="345" spans="1:52" s="36" customFormat="1">
      <c r="A345" s="22">
        <v>40781</v>
      </c>
      <c r="B345" s="15">
        <v>-121.7</v>
      </c>
      <c r="C345" s="15"/>
      <c r="D345" s="17">
        <v>40777</v>
      </c>
      <c r="E345" s="12"/>
      <c r="F345" s="12"/>
      <c r="G345" s="17">
        <v>40777</v>
      </c>
      <c r="H345" s="12"/>
      <c r="I345" s="12"/>
      <c r="J345" s="17">
        <v>40912</v>
      </c>
      <c r="K345" s="20">
        <f>23-410.67</f>
        <v>-387.67</v>
      </c>
      <c r="L345" s="26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</row>
    <row r="346" spans="1:52" s="36" customFormat="1">
      <c r="A346" s="22">
        <v>40783</v>
      </c>
      <c r="B346" s="15">
        <v>-122.9</v>
      </c>
      <c r="C346" s="15"/>
      <c r="D346" s="17">
        <v>40779</v>
      </c>
      <c r="E346" s="12"/>
      <c r="F346" s="12"/>
      <c r="G346" s="17">
        <v>40779</v>
      </c>
      <c r="H346" s="12"/>
      <c r="I346" s="12"/>
      <c r="J346" s="17">
        <v>40913</v>
      </c>
      <c r="K346" s="20">
        <f>23-410.36</f>
        <v>-387.36</v>
      </c>
      <c r="L346" s="26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</row>
    <row r="347" spans="1:52" s="36" customFormat="1">
      <c r="A347" s="22">
        <v>40785</v>
      </c>
      <c r="B347" s="15">
        <v>-126.9</v>
      </c>
      <c r="C347" s="15"/>
      <c r="D347" s="17">
        <v>40781</v>
      </c>
      <c r="E347" s="12"/>
      <c r="F347" s="12"/>
      <c r="G347" s="17">
        <v>40781</v>
      </c>
      <c r="H347" s="12"/>
      <c r="I347" s="12"/>
      <c r="J347" s="17">
        <v>40914</v>
      </c>
      <c r="K347" s="20">
        <f>23-410.55</f>
        <v>-387.55</v>
      </c>
      <c r="L347" s="26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</row>
    <row r="348" spans="1:52" s="36" customFormat="1">
      <c r="A348" s="22">
        <v>40787</v>
      </c>
      <c r="B348" s="15">
        <v>-126.3</v>
      </c>
      <c r="C348" s="15"/>
      <c r="D348" s="17">
        <v>40783</v>
      </c>
      <c r="E348" s="12"/>
      <c r="F348" s="12"/>
      <c r="G348" s="17">
        <v>40783</v>
      </c>
      <c r="H348" s="12"/>
      <c r="I348" s="12"/>
      <c r="J348" s="17">
        <v>40915</v>
      </c>
      <c r="K348" s="20">
        <f>23-406.81</f>
        <v>-383.81</v>
      </c>
      <c r="L348" s="26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</row>
    <row r="349" spans="1:52" s="36" customFormat="1">
      <c r="A349" s="22">
        <v>40789</v>
      </c>
      <c r="B349" s="15">
        <v>-120.9</v>
      </c>
      <c r="C349" s="15"/>
      <c r="D349" s="17">
        <v>40785</v>
      </c>
      <c r="E349" s="12"/>
      <c r="F349" s="12"/>
      <c r="G349" s="17">
        <v>40785</v>
      </c>
      <c r="H349" s="12"/>
      <c r="I349" s="12"/>
      <c r="J349" s="17">
        <v>40916</v>
      </c>
      <c r="K349" s="20">
        <f>23-410.36</f>
        <v>-387.36</v>
      </c>
      <c r="L349" s="26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</row>
    <row r="350" spans="1:52" s="36" customFormat="1">
      <c r="A350" s="22">
        <v>40791</v>
      </c>
      <c r="B350" s="15">
        <v>-121.2</v>
      </c>
      <c r="C350" s="15"/>
      <c r="D350" s="17">
        <v>40787</v>
      </c>
      <c r="E350" s="12"/>
      <c r="F350" s="12"/>
      <c r="G350" s="17">
        <v>40787</v>
      </c>
      <c r="H350" s="12"/>
      <c r="I350" s="12"/>
      <c r="J350" s="17">
        <v>40917</v>
      </c>
      <c r="K350" s="20">
        <f>23-404.9</f>
        <v>-381.9</v>
      </c>
      <c r="L350" s="26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</row>
    <row r="351" spans="1:52" s="36" customFormat="1">
      <c r="A351" s="22">
        <v>40793</v>
      </c>
      <c r="B351" s="15">
        <v>-118.5</v>
      </c>
      <c r="C351" s="15"/>
      <c r="D351" s="17">
        <v>40789</v>
      </c>
      <c r="E351" s="12"/>
      <c r="F351" s="12"/>
      <c r="G351" s="17">
        <v>40789</v>
      </c>
      <c r="H351" s="12"/>
      <c r="I351" s="12"/>
      <c r="J351" s="17">
        <v>40918</v>
      </c>
      <c r="K351" s="20">
        <f>23-408.3</f>
        <v>-385.3</v>
      </c>
      <c r="L351" s="26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</row>
    <row r="352" spans="1:52" s="36" customFormat="1">
      <c r="A352" s="22">
        <v>40795</v>
      </c>
      <c r="B352" s="15">
        <v>-159.4</v>
      </c>
      <c r="C352" s="23"/>
      <c r="D352" s="17">
        <v>40791</v>
      </c>
      <c r="E352" s="12"/>
      <c r="F352" s="12"/>
      <c r="G352" s="17">
        <v>40791</v>
      </c>
      <c r="H352" s="12"/>
      <c r="I352" s="12"/>
      <c r="J352" s="17">
        <v>40919</v>
      </c>
      <c r="K352" s="20">
        <f>23-409.91</f>
        <v>-386.91</v>
      </c>
      <c r="L352" s="26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</row>
    <row r="353" spans="1:52" s="36" customFormat="1">
      <c r="A353" s="22">
        <v>40797</v>
      </c>
      <c r="B353" s="15">
        <v>-142</v>
      </c>
      <c r="C353" s="23"/>
      <c r="D353" s="17">
        <v>40793</v>
      </c>
      <c r="E353" s="12"/>
      <c r="F353" s="12"/>
      <c r="G353" s="17">
        <v>40793</v>
      </c>
      <c r="H353" s="12"/>
      <c r="I353" s="12"/>
      <c r="J353" s="17">
        <v>40922</v>
      </c>
      <c r="K353" s="20">
        <f>23-405</f>
        <v>-382</v>
      </c>
      <c r="L353" s="26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</row>
    <row r="354" spans="1:52" s="36" customFormat="1">
      <c r="A354" s="22">
        <v>40799</v>
      </c>
      <c r="B354" s="15">
        <v>-140.69999999999999</v>
      </c>
      <c r="C354" s="15"/>
      <c r="D354" s="17">
        <v>40795</v>
      </c>
      <c r="E354" s="12"/>
      <c r="F354" s="12"/>
      <c r="G354" s="17">
        <v>40795</v>
      </c>
      <c r="H354" s="12"/>
      <c r="I354" s="12"/>
      <c r="J354" s="17">
        <v>40923</v>
      </c>
      <c r="K354" s="20">
        <f>23-406</f>
        <v>-383</v>
      </c>
      <c r="L354" s="26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</row>
    <row r="355" spans="1:52" s="36" customFormat="1">
      <c r="A355" s="22">
        <v>40801</v>
      </c>
      <c r="B355" s="15">
        <v>-138.4</v>
      </c>
      <c r="C355" s="15"/>
      <c r="D355" s="17">
        <v>40797</v>
      </c>
      <c r="E355" s="12"/>
      <c r="F355" s="12"/>
      <c r="G355" s="17">
        <v>40797</v>
      </c>
      <c r="H355" s="12"/>
      <c r="I355" s="12"/>
      <c r="J355" s="17">
        <v>40924</v>
      </c>
      <c r="K355" s="20">
        <f>23-402</f>
        <v>-379</v>
      </c>
      <c r="L355" s="26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</row>
    <row r="356" spans="1:52" s="36" customFormat="1">
      <c r="A356" s="22">
        <v>40803</v>
      </c>
      <c r="B356" s="15">
        <v>-138.5</v>
      </c>
      <c r="C356" s="15"/>
      <c r="D356" s="17">
        <v>40799</v>
      </c>
      <c r="E356" s="12"/>
      <c r="F356" s="12"/>
      <c r="G356" s="17">
        <v>40799</v>
      </c>
      <c r="H356" s="12"/>
      <c r="I356" s="12"/>
      <c r="J356" s="17">
        <v>40925</v>
      </c>
      <c r="K356" s="20">
        <f>23-401.3</f>
        <v>-378.3</v>
      </c>
      <c r="L356" s="26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</row>
    <row r="357" spans="1:52" s="36" customFormat="1">
      <c r="A357" s="22">
        <v>40805</v>
      </c>
      <c r="B357" s="15">
        <v>-139.6</v>
      </c>
      <c r="C357" s="15"/>
      <c r="D357" s="17">
        <v>40801</v>
      </c>
      <c r="E357" s="12"/>
      <c r="F357" s="12"/>
      <c r="G357" s="17">
        <v>40801</v>
      </c>
      <c r="H357" s="12"/>
      <c r="I357" s="12"/>
      <c r="J357" s="17">
        <v>40926</v>
      </c>
      <c r="K357" s="20">
        <f>23-400</f>
        <v>-377</v>
      </c>
      <c r="L357" s="26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</row>
    <row r="358" spans="1:52" s="36" customFormat="1">
      <c r="A358" s="22">
        <v>40809</v>
      </c>
      <c r="B358" s="15">
        <v>-141.6</v>
      </c>
      <c r="C358" s="15"/>
      <c r="D358" s="17">
        <v>40803</v>
      </c>
      <c r="E358" s="12"/>
      <c r="F358" s="12"/>
      <c r="G358" s="17">
        <v>40803</v>
      </c>
      <c r="H358" s="12"/>
      <c r="I358" s="12"/>
      <c r="J358" s="17">
        <v>40927</v>
      </c>
      <c r="K358" s="20">
        <f>23-400</f>
        <v>-377</v>
      </c>
      <c r="L358" s="26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</row>
    <row r="359" spans="1:52" s="36" customFormat="1">
      <c r="A359" s="22">
        <v>40811</v>
      </c>
      <c r="B359" s="15">
        <v>-139.9</v>
      </c>
      <c r="C359" s="15"/>
      <c r="D359" s="17">
        <v>40805</v>
      </c>
      <c r="E359" s="12"/>
      <c r="F359" s="12"/>
      <c r="G359" s="17">
        <v>40805</v>
      </c>
      <c r="H359" s="12"/>
      <c r="I359" s="12"/>
      <c r="J359" s="17">
        <v>40928</v>
      </c>
      <c r="K359" s="20">
        <f>23-399</f>
        <v>-376</v>
      </c>
      <c r="L359" s="26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</row>
    <row r="360" spans="1:52" s="36" customFormat="1">
      <c r="A360" s="22">
        <v>40813</v>
      </c>
      <c r="B360" s="15">
        <v>-141.6</v>
      </c>
      <c r="C360" s="15"/>
      <c r="D360" s="17">
        <v>40807</v>
      </c>
      <c r="E360" s="12"/>
      <c r="F360" s="12"/>
      <c r="G360" s="17">
        <v>40807</v>
      </c>
      <c r="H360" s="12"/>
      <c r="I360" s="12"/>
      <c r="J360" s="17">
        <v>40929</v>
      </c>
      <c r="K360" s="20">
        <f>23-392</f>
        <v>-369</v>
      </c>
      <c r="L360" s="26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</row>
    <row r="361" spans="1:52" s="36" customFormat="1">
      <c r="A361" s="22">
        <v>40815</v>
      </c>
      <c r="B361" s="15">
        <v>-140.69999999999999</v>
      </c>
      <c r="C361" s="15"/>
      <c r="D361" s="17">
        <v>40809</v>
      </c>
      <c r="E361" s="12"/>
      <c r="F361" s="12"/>
      <c r="G361" s="17">
        <v>40809</v>
      </c>
      <c r="H361" s="12"/>
      <c r="I361" s="12"/>
      <c r="J361" s="17">
        <v>40934</v>
      </c>
      <c r="K361" s="20">
        <f>23-403</f>
        <v>-380</v>
      </c>
      <c r="L361" s="26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</row>
    <row r="362" spans="1:52" s="36" customFormat="1">
      <c r="A362" s="22">
        <v>40819</v>
      </c>
      <c r="B362" s="15">
        <v>-140.19999999999999</v>
      </c>
      <c r="C362" s="15"/>
      <c r="D362" s="17">
        <v>40811</v>
      </c>
      <c r="E362" s="12"/>
      <c r="F362" s="12"/>
      <c r="G362" s="17">
        <v>40811</v>
      </c>
      <c r="H362" s="12"/>
      <c r="I362" s="12"/>
      <c r="J362" s="17">
        <v>40935</v>
      </c>
      <c r="K362" s="20">
        <f>23-404</f>
        <v>-381</v>
      </c>
      <c r="L362" s="26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</row>
    <row r="363" spans="1:52" s="36" customFormat="1">
      <c r="A363" s="22">
        <v>40821</v>
      </c>
      <c r="B363" s="15">
        <v>-140.1</v>
      </c>
      <c r="C363" s="15"/>
      <c r="D363" s="17">
        <v>40813</v>
      </c>
      <c r="E363" s="12"/>
      <c r="F363" s="12"/>
      <c r="G363" s="17">
        <v>40813</v>
      </c>
      <c r="H363" s="12"/>
      <c r="I363" s="12"/>
      <c r="J363" s="17">
        <v>40936</v>
      </c>
      <c r="K363" s="20">
        <f>23-410.29</f>
        <v>-387.29</v>
      </c>
      <c r="L363" s="26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</row>
    <row r="364" spans="1:52" s="36" customFormat="1">
      <c r="A364" s="22">
        <v>40823</v>
      </c>
      <c r="B364" s="15">
        <v>-131.5</v>
      </c>
      <c r="C364" s="15"/>
      <c r="D364" s="17">
        <v>40815</v>
      </c>
      <c r="E364" s="12"/>
      <c r="F364" s="12"/>
      <c r="G364" s="17">
        <v>40815</v>
      </c>
      <c r="H364" s="12"/>
      <c r="I364" s="12"/>
      <c r="J364" s="17">
        <v>40937</v>
      </c>
      <c r="K364" s="20">
        <f>23-390.62</f>
        <v>-367.62</v>
      </c>
      <c r="L364" s="26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</row>
    <row r="365" spans="1:52" s="36" customFormat="1">
      <c r="A365" s="22">
        <v>40825</v>
      </c>
      <c r="B365" s="23">
        <v>-136.9</v>
      </c>
      <c r="C365" s="23"/>
      <c r="D365" s="17">
        <v>40817</v>
      </c>
      <c r="E365" s="12"/>
      <c r="F365" s="12"/>
      <c r="G365" s="17">
        <v>40817</v>
      </c>
      <c r="H365" s="12"/>
      <c r="I365" s="12"/>
      <c r="J365" s="17">
        <v>40938</v>
      </c>
      <c r="K365" s="20">
        <f>23-403.07</f>
        <v>-380.07</v>
      </c>
      <c r="L365" s="26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</row>
    <row r="366" spans="1:52" s="36" customFormat="1">
      <c r="A366" s="22">
        <v>40827</v>
      </c>
      <c r="B366" s="15">
        <v>-136.69999999999999</v>
      </c>
      <c r="C366" s="15"/>
      <c r="D366" s="17">
        <v>40819</v>
      </c>
      <c r="E366" s="12"/>
      <c r="F366" s="12"/>
      <c r="G366" s="17">
        <v>40819</v>
      </c>
      <c r="H366" s="12"/>
      <c r="I366" s="12"/>
      <c r="J366" s="17">
        <v>40939</v>
      </c>
      <c r="K366" s="20">
        <f>23-403.07</f>
        <v>-380.07</v>
      </c>
      <c r="L366" s="26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</row>
    <row r="367" spans="1:52" s="36" customFormat="1">
      <c r="A367" s="22">
        <v>40829</v>
      </c>
      <c r="B367" s="15">
        <v>-138.80000000000001</v>
      </c>
      <c r="C367" s="15"/>
      <c r="D367" s="17">
        <v>40821</v>
      </c>
      <c r="E367" s="16"/>
      <c r="F367" s="16"/>
      <c r="G367" s="17">
        <v>40821</v>
      </c>
      <c r="H367" s="12"/>
      <c r="I367" s="12"/>
      <c r="J367" s="17">
        <v>40940</v>
      </c>
      <c r="K367" s="20">
        <f>23-402.67</f>
        <v>-379.67</v>
      </c>
      <c r="L367" s="26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</row>
    <row r="368" spans="1:52" s="36" customFormat="1">
      <c r="A368" s="22">
        <v>40831</v>
      </c>
      <c r="B368" s="15">
        <v>-136.5</v>
      </c>
      <c r="C368" s="15"/>
      <c r="D368" s="17">
        <v>40823</v>
      </c>
      <c r="E368" s="12"/>
      <c r="F368" s="12"/>
      <c r="G368" s="17">
        <v>40823</v>
      </c>
      <c r="H368" s="12"/>
      <c r="I368" s="12"/>
      <c r="J368" s="17">
        <v>40941</v>
      </c>
      <c r="K368" s="20">
        <f>23-402.5</f>
        <v>-379.5</v>
      </c>
      <c r="L368" s="26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</row>
    <row r="369" spans="1:52" s="36" customFormat="1">
      <c r="A369" s="22">
        <v>40833</v>
      </c>
      <c r="B369" s="15">
        <v>-139</v>
      </c>
      <c r="C369" s="15"/>
      <c r="D369" s="17">
        <v>40825</v>
      </c>
      <c r="E369" s="12"/>
      <c r="F369" s="12"/>
      <c r="G369" s="17">
        <v>40825</v>
      </c>
      <c r="H369" s="12"/>
      <c r="I369" s="12"/>
      <c r="J369" s="17">
        <v>40942</v>
      </c>
      <c r="K369" s="20">
        <f>23-402.9</f>
        <v>-379.9</v>
      </c>
      <c r="L369" s="26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</row>
    <row r="370" spans="1:52" s="36" customFormat="1">
      <c r="A370" s="22">
        <v>40835</v>
      </c>
      <c r="B370" s="15">
        <v>-133.9</v>
      </c>
      <c r="C370" s="15"/>
      <c r="D370" s="17">
        <v>40827</v>
      </c>
      <c r="E370" s="12"/>
      <c r="F370" s="12"/>
      <c r="G370" s="17">
        <v>40827</v>
      </c>
      <c r="H370" s="12"/>
      <c r="I370" s="12"/>
      <c r="J370" s="17">
        <v>40943</v>
      </c>
      <c r="K370" s="20">
        <f>23-404.5</f>
        <v>-381.5</v>
      </c>
      <c r="L370" s="26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</row>
    <row r="371" spans="1:52" s="36" customFormat="1">
      <c r="A371" s="22">
        <v>40839</v>
      </c>
      <c r="B371" s="15">
        <v>-133.4</v>
      </c>
      <c r="C371" s="15"/>
      <c r="D371" s="17">
        <v>40829</v>
      </c>
      <c r="E371" s="12">
        <v>0</v>
      </c>
      <c r="F371" s="12"/>
      <c r="G371" s="17">
        <v>40829</v>
      </c>
      <c r="H371" s="12">
        <v>0</v>
      </c>
      <c r="I371" s="12"/>
      <c r="J371" s="17">
        <v>40944</v>
      </c>
      <c r="K371" s="20">
        <f>23-402.7</f>
        <v>-379.7</v>
      </c>
      <c r="L371" s="26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</row>
    <row r="372" spans="1:52" s="36" customFormat="1">
      <c r="A372" s="22">
        <v>40841</v>
      </c>
      <c r="B372" s="15">
        <v>-126.7</v>
      </c>
      <c r="C372" s="15"/>
      <c r="D372" s="17">
        <v>40831</v>
      </c>
      <c r="E372" s="12">
        <v>-9.5399999999999991</v>
      </c>
      <c r="F372" s="12"/>
      <c r="G372" s="17">
        <v>40831</v>
      </c>
      <c r="H372" s="12">
        <f>15-23.35</f>
        <v>-8.3500000000000014</v>
      </c>
      <c r="I372" s="12"/>
      <c r="J372" s="17">
        <v>40945</v>
      </c>
      <c r="K372" s="20">
        <f>23-408.4</f>
        <v>-385.4</v>
      </c>
      <c r="L372" s="26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</row>
    <row r="373" spans="1:52" s="36" customFormat="1">
      <c r="A373" s="22">
        <v>40843</v>
      </c>
      <c r="B373" s="15">
        <v>-132.6</v>
      </c>
      <c r="C373" s="15"/>
      <c r="D373" s="17">
        <v>40833</v>
      </c>
      <c r="E373" s="12">
        <v>-10.6</v>
      </c>
      <c r="F373" s="12"/>
      <c r="G373" s="17">
        <v>40833</v>
      </c>
      <c r="H373" s="12">
        <f>15-24.5</f>
        <v>-9.5</v>
      </c>
      <c r="I373" s="12"/>
      <c r="J373" s="17">
        <v>40946</v>
      </c>
      <c r="K373" s="20">
        <f>23-408</f>
        <v>-385</v>
      </c>
      <c r="L373" s="26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</row>
    <row r="374" spans="1:52" s="36" customFormat="1">
      <c r="A374" s="22">
        <v>40845</v>
      </c>
      <c r="B374" s="15">
        <v>-138.5</v>
      </c>
      <c r="C374" s="15"/>
      <c r="D374" s="17">
        <v>40835</v>
      </c>
      <c r="E374" s="12">
        <v>-53.77</v>
      </c>
      <c r="F374" s="12"/>
      <c r="G374" s="17">
        <v>40835</v>
      </c>
      <c r="H374" s="12">
        <f>15-52.45</f>
        <v>-37.450000000000003</v>
      </c>
      <c r="I374" s="16"/>
      <c r="J374" s="17">
        <v>40947</v>
      </c>
      <c r="K374" s="20">
        <f>23-412.4</f>
        <v>-389.4</v>
      </c>
      <c r="L374" s="26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</row>
    <row r="375" spans="1:52" s="36" customFormat="1">
      <c r="A375" s="22">
        <v>40847</v>
      </c>
      <c r="B375" s="15">
        <v>-142.69999999999999</v>
      </c>
      <c r="C375" s="15"/>
      <c r="D375" s="17">
        <v>40837</v>
      </c>
      <c r="E375" s="12">
        <v>-53.57</v>
      </c>
      <c r="F375" s="12"/>
      <c r="G375" s="17">
        <v>40839</v>
      </c>
      <c r="H375" s="12">
        <f>15-84.94</f>
        <v>-69.94</v>
      </c>
      <c r="I375" s="16"/>
      <c r="J375" s="17">
        <v>40948</v>
      </c>
      <c r="K375" s="20">
        <f>23-410.03</f>
        <v>-387.03</v>
      </c>
      <c r="L375" s="26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</row>
    <row r="376" spans="1:52" s="36" customFormat="1">
      <c r="A376" s="22">
        <v>40849</v>
      </c>
      <c r="B376" s="15">
        <v>-146.80000000000001</v>
      </c>
      <c r="C376" s="15"/>
      <c r="D376" s="17">
        <v>40839</v>
      </c>
      <c r="E376" s="12">
        <v>-81.78</v>
      </c>
      <c r="F376" s="12"/>
      <c r="G376" s="17">
        <v>40849</v>
      </c>
      <c r="H376" s="12">
        <f>15-77.46</f>
        <v>-62.459999999999994</v>
      </c>
      <c r="I376" s="12"/>
      <c r="J376" s="17">
        <v>40949</v>
      </c>
      <c r="K376" s="20">
        <f>23-414.12</f>
        <v>-391.12</v>
      </c>
      <c r="L376" s="26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</row>
    <row r="377" spans="1:52" s="36" customFormat="1">
      <c r="A377" s="22">
        <v>40851</v>
      </c>
      <c r="B377" s="15">
        <v>-148.69999999999999</v>
      </c>
      <c r="C377" s="15"/>
      <c r="D377" s="17">
        <v>40841</v>
      </c>
      <c r="E377" s="12">
        <v>-108.62</v>
      </c>
      <c r="F377" s="12"/>
      <c r="G377" s="17">
        <v>40868</v>
      </c>
      <c r="H377" s="12">
        <v>-67.39</v>
      </c>
      <c r="I377" s="12"/>
      <c r="J377" s="17">
        <v>40950</v>
      </c>
      <c r="K377" s="20">
        <f>23-414.15</f>
        <v>-391.15</v>
      </c>
      <c r="L377" s="26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</row>
    <row r="378" spans="1:52" s="36" customFormat="1">
      <c r="A378" s="22">
        <v>40856</v>
      </c>
      <c r="B378" s="15">
        <v>-146.1</v>
      </c>
      <c r="C378" s="15"/>
      <c r="D378" s="17">
        <v>40843</v>
      </c>
      <c r="E378" s="12">
        <v>-116.71</v>
      </c>
      <c r="F378" s="12"/>
      <c r="G378" s="17">
        <v>40877</v>
      </c>
      <c r="H378" s="12">
        <v>-420.2</v>
      </c>
      <c r="I378" s="12"/>
      <c r="J378" s="17">
        <v>40951</v>
      </c>
      <c r="K378" s="20">
        <f>23-418.71</f>
        <v>-395.71</v>
      </c>
      <c r="L378" s="26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</row>
    <row r="379" spans="1:52" s="36" customFormat="1">
      <c r="A379" s="22">
        <v>40863</v>
      </c>
      <c r="B379" s="15">
        <v>-142.47999999999999</v>
      </c>
      <c r="C379" s="15"/>
      <c r="D379" s="17">
        <v>40845</v>
      </c>
      <c r="E379" s="12">
        <v>-124.79</v>
      </c>
      <c r="F379" s="12"/>
      <c r="G379" s="17">
        <v>40879</v>
      </c>
      <c r="H379" s="12">
        <v>-424.28</v>
      </c>
      <c r="I379" s="12"/>
      <c r="J379" s="17">
        <v>40952</v>
      </c>
      <c r="K379" s="20">
        <f>23-415.11</f>
        <v>-392.11</v>
      </c>
      <c r="L379" s="26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</row>
    <row r="380" spans="1:52" s="36" customFormat="1">
      <c r="A380" s="22">
        <v>40865</v>
      </c>
      <c r="B380" s="15">
        <v>-161.4</v>
      </c>
      <c r="C380" s="15"/>
      <c r="D380" s="17">
        <v>40847</v>
      </c>
      <c r="E380" s="12">
        <v>-131.03</v>
      </c>
      <c r="F380" s="12"/>
      <c r="G380" s="17">
        <v>40880</v>
      </c>
      <c r="H380" s="12">
        <v>-424.7</v>
      </c>
      <c r="I380" s="12"/>
      <c r="J380" s="17">
        <v>40953</v>
      </c>
      <c r="K380" s="20">
        <f>23-419.79</f>
        <v>-396.79</v>
      </c>
      <c r="L380" s="26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</row>
    <row r="381" spans="1:52" s="36" customFormat="1">
      <c r="A381" s="22">
        <v>40868</v>
      </c>
      <c r="B381" s="15">
        <v>-154.30000000000001</v>
      </c>
      <c r="C381" s="15"/>
      <c r="D381" s="17">
        <v>40849</v>
      </c>
      <c r="E381" s="12">
        <v>-127.28</v>
      </c>
      <c r="F381" s="12"/>
      <c r="G381" s="17">
        <v>40881</v>
      </c>
      <c r="H381" s="12">
        <v>-423.75</v>
      </c>
      <c r="I381" s="12"/>
      <c r="J381" s="17">
        <v>40954</v>
      </c>
      <c r="K381" s="20">
        <f>23-415.05</f>
        <v>-392.05</v>
      </c>
      <c r="L381" s="26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</row>
    <row r="382" spans="1:52" s="36" customFormat="1">
      <c r="A382" s="22">
        <v>40870</v>
      </c>
      <c r="B382" s="15">
        <v>-165.69</v>
      </c>
      <c r="C382" s="15"/>
      <c r="D382" s="17">
        <v>40851</v>
      </c>
      <c r="E382" s="12">
        <v>-134.09</v>
      </c>
      <c r="F382" s="12"/>
      <c r="G382" s="17">
        <v>40882</v>
      </c>
      <c r="H382" s="12">
        <v>-425.2</v>
      </c>
      <c r="I382" s="12"/>
      <c r="J382" s="17">
        <v>40955</v>
      </c>
      <c r="K382" s="20">
        <f>23-414.65</f>
        <v>-391.65</v>
      </c>
      <c r="L382" s="26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</row>
    <row r="383" spans="1:52" s="36" customFormat="1">
      <c r="A383" s="22">
        <v>40877</v>
      </c>
      <c r="B383" s="15">
        <v>-355.2</v>
      </c>
      <c r="C383" s="15"/>
      <c r="D383" s="17">
        <v>40854</v>
      </c>
      <c r="E383" s="12">
        <v>-137.47</v>
      </c>
      <c r="F383" s="12"/>
      <c r="G383" s="17">
        <v>40883</v>
      </c>
      <c r="H383" s="12">
        <v>-422.6</v>
      </c>
      <c r="I383" s="12"/>
      <c r="J383" s="17">
        <v>40956</v>
      </c>
      <c r="K383" s="20">
        <f>23-416.52</f>
        <v>-393.52</v>
      </c>
      <c r="L383" s="26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</row>
    <row r="384" spans="1:52" s="36" customFormat="1">
      <c r="A384" s="22">
        <v>40879</v>
      </c>
      <c r="B384" s="15">
        <v>-353.55</v>
      </c>
      <c r="C384" s="15"/>
      <c r="D384" s="17">
        <v>40856</v>
      </c>
      <c r="E384" s="12">
        <v>-134.84</v>
      </c>
      <c r="F384" s="12"/>
      <c r="G384" s="17">
        <v>40884</v>
      </c>
      <c r="H384" s="12">
        <v>-425.03</v>
      </c>
      <c r="I384" s="12"/>
      <c r="J384" s="17">
        <v>40957</v>
      </c>
      <c r="K384" s="20">
        <f>23-413.35</f>
        <v>-390.35</v>
      </c>
      <c r="L384" s="26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</row>
    <row r="385" spans="1:52" s="36" customFormat="1">
      <c r="A385" s="22">
        <v>40882</v>
      </c>
      <c r="B385" s="15">
        <v>-352.3</v>
      </c>
      <c r="C385" s="15"/>
      <c r="D385" s="17">
        <v>40858</v>
      </c>
      <c r="E385" s="12">
        <v>-141.59</v>
      </c>
      <c r="F385" s="12"/>
      <c r="G385" s="17">
        <v>40885</v>
      </c>
      <c r="H385" s="12">
        <v>-421.2</v>
      </c>
      <c r="I385" s="12"/>
      <c r="J385" s="17">
        <v>40958</v>
      </c>
      <c r="K385" s="20">
        <f>23-412.96</f>
        <v>-389.96</v>
      </c>
      <c r="L385" s="26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</row>
    <row r="386" spans="1:52" s="36" customFormat="1">
      <c r="A386" s="22">
        <v>40884</v>
      </c>
      <c r="B386" s="15">
        <v>-351.4</v>
      </c>
      <c r="C386" s="15"/>
      <c r="D386" s="17">
        <v>40861</v>
      </c>
      <c r="E386" s="12">
        <v>-148.36000000000001</v>
      </c>
      <c r="F386" s="12"/>
      <c r="G386" s="17">
        <v>40886</v>
      </c>
      <c r="H386" s="12">
        <v>-422.5</v>
      </c>
      <c r="I386" s="12"/>
      <c r="J386" s="17">
        <v>40959</v>
      </c>
      <c r="K386" s="20">
        <f>23-413.41</f>
        <v>-390.41</v>
      </c>
      <c r="L386" s="26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</row>
    <row r="387" spans="1:52" s="36" customFormat="1">
      <c r="A387" s="22">
        <v>40886</v>
      </c>
      <c r="B387" s="15">
        <v>-353.2</v>
      </c>
      <c r="C387" s="15"/>
      <c r="D387" s="17">
        <v>40863</v>
      </c>
      <c r="E387" s="12">
        <v>-161.38</v>
      </c>
      <c r="F387" s="12"/>
      <c r="G387" s="17">
        <v>40887</v>
      </c>
      <c r="H387" s="12">
        <v>-421</v>
      </c>
      <c r="I387" s="12"/>
      <c r="J387" s="17">
        <v>40960</v>
      </c>
      <c r="K387" s="20">
        <f>23-415.34</f>
        <v>-392.34</v>
      </c>
      <c r="L387" s="26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</row>
    <row r="388" spans="1:52" s="36" customFormat="1">
      <c r="A388" s="22">
        <v>40889</v>
      </c>
      <c r="B388" s="15">
        <v>-350</v>
      </c>
      <c r="C388" s="15"/>
      <c r="D388" s="17">
        <v>40865</v>
      </c>
      <c r="E388" s="12">
        <v>-169.9</v>
      </c>
      <c r="F388" s="12"/>
      <c r="G388" s="17">
        <v>40888</v>
      </c>
      <c r="H388" s="12">
        <v>-421</v>
      </c>
      <c r="I388" s="12"/>
      <c r="J388" s="17">
        <v>40961</v>
      </c>
      <c r="K388" s="20">
        <f>23-420.23</f>
        <v>-397.23</v>
      </c>
      <c r="L388" s="26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</row>
    <row r="389" spans="1:52" s="36" customFormat="1">
      <c r="A389" s="22">
        <v>40891</v>
      </c>
      <c r="B389" s="15">
        <v>-354.9</v>
      </c>
      <c r="C389" s="15"/>
      <c r="D389" s="17">
        <v>40868</v>
      </c>
      <c r="E389" s="12">
        <v>-172.7</v>
      </c>
      <c r="F389" s="12"/>
      <c r="G389" s="17">
        <v>40889</v>
      </c>
      <c r="H389" s="12">
        <v>-427</v>
      </c>
      <c r="I389" s="12"/>
      <c r="J389" s="17">
        <v>40962</v>
      </c>
      <c r="K389" s="20">
        <f>23-420.63</f>
        <v>-397.63</v>
      </c>
      <c r="L389" s="26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</row>
    <row r="390" spans="1:52" s="36" customFormat="1">
      <c r="A390" s="22">
        <v>40893</v>
      </c>
      <c r="B390" s="15">
        <v>-357.08</v>
      </c>
      <c r="C390" s="15"/>
      <c r="D390" s="17">
        <v>40870</v>
      </c>
      <c r="E390" s="12">
        <v>-194.87</v>
      </c>
      <c r="F390" s="12"/>
      <c r="G390" s="17">
        <v>40890</v>
      </c>
      <c r="H390" s="12">
        <v>-428</v>
      </c>
      <c r="I390" s="12"/>
      <c r="J390" s="17">
        <v>40963</v>
      </c>
      <c r="K390" s="20">
        <f>23-420.86</f>
        <v>-397.86</v>
      </c>
      <c r="L390" s="26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</row>
    <row r="391" spans="1:52" s="36" customFormat="1">
      <c r="A391" s="22">
        <v>40896</v>
      </c>
      <c r="B391" s="15">
        <v>-357.73</v>
      </c>
      <c r="C391" s="15"/>
      <c r="D391" s="17">
        <v>40872</v>
      </c>
      <c r="E391" s="12">
        <v>-194.9</v>
      </c>
      <c r="F391" s="12"/>
      <c r="G391" s="17">
        <v>40891</v>
      </c>
      <c r="H391" s="12">
        <v>-426.3</v>
      </c>
      <c r="I391" s="12"/>
      <c r="J391" s="17">
        <v>40964</v>
      </c>
      <c r="K391" s="20">
        <f>23-419.86</f>
        <v>-396.86</v>
      </c>
      <c r="L391" s="26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</row>
    <row r="392" spans="1:52" s="36" customFormat="1">
      <c r="A392" s="22">
        <v>40898</v>
      </c>
      <c r="B392" s="15">
        <v>-361.78</v>
      </c>
      <c r="C392" s="15"/>
      <c r="D392" s="17">
        <v>40877</v>
      </c>
      <c r="E392" s="12">
        <v>-277.8</v>
      </c>
      <c r="F392" s="12"/>
      <c r="G392" s="17">
        <v>40892</v>
      </c>
      <c r="H392" s="12">
        <v>-423.82</v>
      </c>
      <c r="I392" s="12"/>
      <c r="J392" s="17">
        <v>40965</v>
      </c>
      <c r="K392" s="20">
        <f>23-417.33</f>
        <v>-394.33</v>
      </c>
      <c r="L392" s="26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</row>
    <row r="393" spans="1:52" s="36" customFormat="1">
      <c r="A393" s="22">
        <v>40900</v>
      </c>
      <c r="B393" s="15">
        <v>-362</v>
      </c>
      <c r="C393" s="15"/>
      <c r="D393" s="17">
        <v>40879</v>
      </c>
      <c r="E393" s="12">
        <v>-285.69</v>
      </c>
      <c r="F393" s="12"/>
      <c r="G393" s="17">
        <v>40893</v>
      </c>
      <c r="H393" s="12">
        <v>-425.33</v>
      </c>
      <c r="I393" s="12"/>
      <c r="J393" s="17">
        <v>40966</v>
      </c>
      <c r="K393" s="12">
        <f>23-417.48</f>
        <v>-394.48</v>
      </c>
      <c r="L393" s="26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</row>
    <row r="394" spans="1:52" s="36" customFormat="1">
      <c r="A394" s="22">
        <v>40903</v>
      </c>
      <c r="B394" s="15">
        <v>-361.14</v>
      </c>
      <c r="C394" s="15"/>
      <c r="D394" s="17">
        <v>40880</v>
      </c>
      <c r="E394" s="12">
        <v>-288.29000000000002</v>
      </c>
      <c r="F394" s="12"/>
      <c r="G394" s="17">
        <v>40894</v>
      </c>
      <c r="H394" s="12">
        <v>-422.29</v>
      </c>
      <c r="I394" s="12"/>
      <c r="J394" s="17">
        <v>40967</v>
      </c>
      <c r="K394" s="12">
        <f>23-420.47</f>
        <v>-397.47</v>
      </c>
      <c r="L394" s="26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</row>
    <row r="395" spans="1:52" s="36" customFormat="1">
      <c r="A395" s="22">
        <v>40905</v>
      </c>
      <c r="B395" s="15">
        <v>-363.38</v>
      </c>
      <c r="C395" s="15"/>
      <c r="D395" s="17">
        <v>40881</v>
      </c>
      <c r="E395" s="12">
        <v>-287.52</v>
      </c>
      <c r="F395" s="12"/>
      <c r="G395" s="17">
        <v>40895</v>
      </c>
      <c r="H395" s="12">
        <v>-422.27</v>
      </c>
      <c r="I395" s="12"/>
      <c r="J395" s="17">
        <v>40968</v>
      </c>
      <c r="K395" s="20">
        <f>23+[3]Sheet1!$S$5</f>
        <v>-398.47</v>
      </c>
      <c r="L395" s="26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</row>
    <row r="396" spans="1:52" s="36" customFormat="1">
      <c r="A396" s="22">
        <v>40924</v>
      </c>
      <c r="B396" s="15">
        <v>-360.9</v>
      </c>
      <c r="C396" s="23"/>
      <c r="D396" s="17">
        <v>40882</v>
      </c>
      <c r="E396" s="12">
        <v>-287.2</v>
      </c>
      <c r="F396" s="12"/>
      <c r="G396" s="17">
        <v>40897</v>
      </c>
      <c r="H396" s="12">
        <v>-426.08</v>
      </c>
      <c r="I396" s="12"/>
      <c r="J396" s="17">
        <v>40969</v>
      </c>
      <c r="K396" s="20">
        <f>23-421.57</f>
        <v>-398.57</v>
      </c>
      <c r="L396" s="26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</row>
    <row r="397" spans="1:52" s="36" customFormat="1">
      <c r="A397" s="22">
        <v>40926</v>
      </c>
      <c r="B397" s="15">
        <v>-364</v>
      </c>
      <c r="C397" s="15"/>
      <c r="D397" s="17">
        <v>40883</v>
      </c>
      <c r="E397" s="12">
        <v>-286.06</v>
      </c>
      <c r="F397" s="12"/>
      <c r="G397" s="17">
        <v>40898</v>
      </c>
      <c r="H397" s="12">
        <v>-422.37</v>
      </c>
      <c r="I397" s="12"/>
      <c r="J397" s="17">
        <v>40970</v>
      </c>
      <c r="K397" s="20">
        <f>23-419.41</f>
        <v>-396.41</v>
      </c>
      <c r="L397" s="26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</row>
    <row r="398" spans="1:52" s="36" customFormat="1">
      <c r="A398" s="22">
        <v>40928</v>
      </c>
      <c r="B398" s="15">
        <v>-367</v>
      </c>
      <c r="C398" s="15"/>
      <c r="D398" s="17">
        <v>40884</v>
      </c>
      <c r="E398" s="12">
        <v>-290.7</v>
      </c>
      <c r="F398" s="12"/>
      <c r="G398" s="17">
        <v>40899</v>
      </c>
      <c r="H398" s="12">
        <v>-427</v>
      </c>
      <c r="I398" s="12"/>
      <c r="J398" s="17">
        <v>40971</v>
      </c>
      <c r="K398" s="20">
        <f>23-420.43</f>
        <v>-397.43</v>
      </c>
      <c r="L398" s="26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</row>
    <row r="399" spans="1:52" s="36" customFormat="1">
      <c r="A399" s="22">
        <v>40935</v>
      </c>
      <c r="B399" s="15">
        <v>-375</v>
      </c>
      <c r="C399" s="15"/>
      <c r="D399" s="17">
        <v>40885</v>
      </c>
      <c r="E399" s="12">
        <v>-290.2</v>
      </c>
      <c r="F399" s="12"/>
      <c r="G399" s="17">
        <v>40901</v>
      </c>
      <c r="H399" s="12">
        <v>-423.6</v>
      </c>
      <c r="I399" s="12"/>
      <c r="J399" s="17">
        <v>40972</v>
      </c>
      <c r="K399" s="20">
        <f>23-423.51</f>
        <v>-400.51</v>
      </c>
      <c r="L399" s="26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</row>
    <row r="400" spans="1:52" s="36" customFormat="1">
      <c r="A400" s="22">
        <v>40938</v>
      </c>
      <c r="B400" s="15">
        <v>-375.6</v>
      </c>
      <c r="C400" s="23"/>
      <c r="D400" s="17">
        <v>40886</v>
      </c>
      <c r="E400" s="12">
        <v>-285.39999999999998</v>
      </c>
      <c r="F400" s="12"/>
      <c r="G400" s="17">
        <v>40902</v>
      </c>
      <c r="H400" s="12">
        <v>-427.9</v>
      </c>
      <c r="I400" s="12"/>
      <c r="J400" s="17">
        <v>40973</v>
      </c>
      <c r="K400" s="20">
        <f>23-422.43</f>
        <v>-399.43</v>
      </c>
      <c r="L400" s="26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</row>
    <row r="401" spans="1:52" s="36" customFormat="1">
      <c r="A401" s="22">
        <v>40940</v>
      </c>
      <c r="B401" s="15">
        <v>-365</v>
      </c>
      <c r="C401" s="15"/>
      <c r="D401" s="17">
        <v>40887</v>
      </c>
      <c r="E401" s="12">
        <v>-287</v>
      </c>
      <c r="F401" s="12"/>
      <c r="G401" s="17">
        <v>40903</v>
      </c>
      <c r="H401" s="12">
        <v>-425.6</v>
      </c>
      <c r="I401" s="12"/>
      <c r="J401" s="17">
        <v>40974</v>
      </c>
      <c r="K401" s="20">
        <f>23-423.88</f>
        <v>-400.88</v>
      </c>
      <c r="L401" s="26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</row>
    <row r="402" spans="1:52" s="36" customFormat="1">
      <c r="A402" s="22">
        <v>40942</v>
      </c>
      <c r="B402" s="15">
        <v>-365</v>
      </c>
      <c r="C402" s="15"/>
      <c r="D402" s="17">
        <v>40888</v>
      </c>
      <c r="E402" s="12">
        <v>-284.5</v>
      </c>
      <c r="F402" s="12"/>
      <c r="G402" s="17">
        <v>40904</v>
      </c>
      <c r="H402" s="12">
        <v>-428.57</v>
      </c>
      <c r="I402" s="12"/>
      <c r="J402" s="17">
        <v>40975</v>
      </c>
      <c r="K402" s="20">
        <f>23-428.69</f>
        <v>-405.69</v>
      </c>
      <c r="L402" s="26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</row>
    <row r="403" spans="1:52" s="36" customFormat="1">
      <c r="A403" s="22">
        <v>40944</v>
      </c>
      <c r="B403" s="15">
        <v>-377</v>
      </c>
      <c r="C403" s="15"/>
      <c r="D403" s="17">
        <v>40889</v>
      </c>
      <c r="E403" s="12">
        <v>-285.5</v>
      </c>
      <c r="F403" s="12"/>
      <c r="G403" s="17">
        <v>40905</v>
      </c>
      <c r="H403" s="12">
        <v>-431.13</v>
      </c>
      <c r="I403" s="12"/>
      <c r="J403" s="17">
        <v>40976</v>
      </c>
      <c r="K403" s="20">
        <f>23-428.12</f>
        <v>-405.12</v>
      </c>
      <c r="L403" s="26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</row>
    <row r="404" spans="1:52" s="36" customFormat="1">
      <c r="A404" s="22">
        <v>40945</v>
      </c>
      <c r="B404" s="15">
        <v>-373</v>
      </c>
      <c r="C404" s="15"/>
      <c r="D404" s="17">
        <v>40890</v>
      </c>
      <c r="E404" s="12">
        <v>-282.10000000000002</v>
      </c>
      <c r="F404" s="12"/>
      <c r="G404" s="17">
        <v>40906</v>
      </c>
      <c r="H404" s="12">
        <v>-430.67</v>
      </c>
      <c r="I404" s="12"/>
      <c r="J404" s="17">
        <v>40977</v>
      </c>
      <c r="K404" s="20">
        <f>23-425.66</f>
        <v>-402.66</v>
      </c>
      <c r="L404" s="26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</row>
    <row r="405" spans="1:52" s="37" customFormat="1">
      <c r="A405" s="22">
        <v>40946</v>
      </c>
      <c r="B405" s="15">
        <v>-365</v>
      </c>
      <c r="C405" s="15"/>
      <c r="D405" s="17">
        <v>40891</v>
      </c>
      <c r="E405" s="12">
        <v>-283.5</v>
      </c>
      <c r="F405" s="12"/>
      <c r="G405" s="17">
        <v>40907</v>
      </c>
      <c r="H405" s="12">
        <v>-430</v>
      </c>
      <c r="I405" s="12"/>
      <c r="J405" s="17">
        <v>40978</v>
      </c>
      <c r="K405" s="20">
        <f>23-426.51</f>
        <v>-403.51</v>
      </c>
      <c r="L405" s="26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</row>
    <row r="406" spans="1:52" s="37" customFormat="1">
      <c r="A406" s="22">
        <v>40947</v>
      </c>
      <c r="B406" s="15">
        <v>-372</v>
      </c>
      <c r="C406" s="15"/>
      <c r="D406" s="17">
        <v>40892</v>
      </c>
      <c r="E406" s="12">
        <v>-287.26</v>
      </c>
      <c r="F406" s="12"/>
      <c r="G406" s="17">
        <v>40908</v>
      </c>
      <c r="H406" s="12">
        <v>-428</v>
      </c>
      <c r="I406" s="12"/>
      <c r="J406" s="17">
        <v>40979</v>
      </c>
      <c r="K406" s="20">
        <f>23-424.32</f>
        <v>-401.32</v>
      </c>
      <c r="L406" s="26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</row>
    <row r="407" spans="1:52" s="37" customFormat="1">
      <c r="A407" s="22">
        <v>40948</v>
      </c>
      <c r="B407" s="15">
        <v>-369.59</v>
      </c>
      <c r="C407" s="15"/>
      <c r="D407" s="17">
        <v>40893</v>
      </c>
      <c r="E407" s="12">
        <v>-286.3</v>
      </c>
      <c r="F407" s="12"/>
      <c r="G407" s="17">
        <v>40909</v>
      </c>
      <c r="H407" s="12">
        <v>-431</v>
      </c>
      <c r="I407" s="12"/>
      <c r="J407" s="17">
        <v>40980</v>
      </c>
      <c r="K407" s="20">
        <f>23-421.19</f>
        <v>-398.19</v>
      </c>
      <c r="L407" s="26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</row>
    <row r="408" spans="1:52" s="37" customFormat="1">
      <c r="A408" s="22">
        <v>40949</v>
      </c>
      <c r="B408" s="15">
        <v>-376.15</v>
      </c>
      <c r="C408" s="15"/>
      <c r="D408" s="17">
        <v>40894</v>
      </c>
      <c r="E408" s="12">
        <v>-289.02</v>
      </c>
      <c r="F408" s="12"/>
      <c r="G408" s="17">
        <v>40910</v>
      </c>
      <c r="H408" s="12">
        <v>-430.96</v>
      </c>
      <c r="I408" s="12"/>
      <c r="J408" s="17">
        <v>40981</v>
      </c>
      <c r="K408" s="20">
        <f>23-421.59</f>
        <v>-398.59</v>
      </c>
      <c r="L408" s="26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</row>
    <row r="409" spans="1:52" s="37" customFormat="1">
      <c r="A409" s="22">
        <v>40950</v>
      </c>
      <c r="B409" s="15">
        <v>-380.93</v>
      </c>
      <c r="C409" s="15"/>
      <c r="D409" s="17">
        <v>40895</v>
      </c>
      <c r="E409" s="12">
        <v>-287.3</v>
      </c>
      <c r="F409" s="12"/>
      <c r="G409" s="17">
        <v>40911</v>
      </c>
      <c r="H409" s="12">
        <v>-430.37</v>
      </c>
      <c r="I409" s="12"/>
      <c r="J409" s="17">
        <v>40982</v>
      </c>
      <c r="K409" s="20">
        <f>23-422.24</f>
        <v>-399.24</v>
      </c>
      <c r="L409" s="26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</row>
    <row r="410" spans="1:52" s="37" customFormat="1">
      <c r="A410" s="22">
        <v>40951</v>
      </c>
      <c r="B410" s="15">
        <v>-380.83</v>
      </c>
      <c r="C410" s="15"/>
      <c r="D410" s="17">
        <v>40896</v>
      </c>
      <c r="E410" s="12">
        <v>-289.8</v>
      </c>
      <c r="F410" s="12"/>
      <c r="G410" s="17">
        <v>40912</v>
      </c>
      <c r="H410" s="12">
        <v>-427.43</v>
      </c>
      <c r="I410" s="12"/>
      <c r="J410" s="17">
        <v>40983</v>
      </c>
      <c r="K410" s="20">
        <f>23-420.94</f>
        <v>-397.94</v>
      </c>
      <c r="L410" s="26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</row>
    <row r="411" spans="1:52" s="37" customFormat="1">
      <c r="A411" s="25">
        <v>40952</v>
      </c>
      <c r="B411" s="23">
        <v>-379.4</v>
      </c>
      <c r="C411" s="23"/>
      <c r="D411" s="17">
        <v>40897</v>
      </c>
      <c r="E411" s="12">
        <v>-291.49</v>
      </c>
      <c r="F411" s="12"/>
      <c r="G411" s="17">
        <v>40913</v>
      </c>
      <c r="H411" s="12">
        <v>-429.68</v>
      </c>
      <c r="I411" s="12"/>
      <c r="J411" s="17">
        <v>40984</v>
      </c>
      <c r="K411" s="20">
        <f>23-423.93</f>
        <v>-400.93</v>
      </c>
      <c r="L411" s="26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</row>
    <row r="412" spans="1:52" s="37" customFormat="1">
      <c r="A412" s="22">
        <v>40953</v>
      </c>
      <c r="B412" s="15">
        <v>-377.93</v>
      </c>
      <c r="C412" s="15"/>
      <c r="D412" s="17">
        <v>40898</v>
      </c>
      <c r="E412" s="12">
        <v>-289.48</v>
      </c>
      <c r="F412" s="12"/>
      <c r="G412" s="17">
        <v>40914</v>
      </c>
      <c r="H412" s="12">
        <v>-429.68</v>
      </c>
      <c r="I412" s="12"/>
      <c r="J412" s="17">
        <v>40985</v>
      </c>
      <c r="K412" s="20">
        <f>23-425.23</f>
        <v>-402.23</v>
      </c>
      <c r="L412" s="26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</row>
    <row r="413" spans="1:52" s="37" customFormat="1">
      <c r="A413" s="22">
        <v>40954</v>
      </c>
      <c r="B413" s="15">
        <v>-365.92</v>
      </c>
      <c r="C413" s="15"/>
      <c r="D413" s="17">
        <v>40899</v>
      </c>
      <c r="E413" s="12">
        <v>-293.5</v>
      </c>
      <c r="F413" s="12"/>
      <c r="G413" s="17">
        <v>40915</v>
      </c>
      <c r="H413" s="12">
        <v>-429.68</v>
      </c>
      <c r="I413" s="12"/>
      <c r="J413" s="17">
        <v>40986</v>
      </c>
      <c r="K413" s="20">
        <f>23-423.98</f>
        <v>-400.98</v>
      </c>
      <c r="L413" s="26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</row>
    <row r="414" spans="1:52" s="37" customFormat="1">
      <c r="A414" s="22">
        <v>40955</v>
      </c>
      <c r="B414" s="15">
        <v>-379.5</v>
      </c>
      <c r="C414" s="15"/>
      <c r="D414" s="17">
        <v>40900</v>
      </c>
      <c r="E414" s="12">
        <v>-295.5</v>
      </c>
      <c r="F414" s="12"/>
      <c r="G414" s="17">
        <v>40916</v>
      </c>
      <c r="H414" s="12">
        <v>-429.68</v>
      </c>
      <c r="I414" s="12"/>
      <c r="J414" s="17">
        <v>40987</v>
      </c>
      <c r="K414" s="20">
        <f>23-424.99</f>
        <v>-401.99</v>
      </c>
      <c r="L414" s="26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</row>
    <row r="415" spans="1:52" s="37" customFormat="1">
      <c r="A415" s="22">
        <v>40956</v>
      </c>
      <c r="B415" s="15">
        <v>-374.34</v>
      </c>
      <c r="C415" s="15"/>
      <c r="D415" s="17">
        <v>40901</v>
      </c>
      <c r="E415" s="12">
        <v>-292.22000000000003</v>
      </c>
      <c r="F415" s="12"/>
      <c r="G415" s="17">
        <v>40917</v>
      </c>
      <c r="H415" s="12">
        <v>-429.46</v>
      </c>
      <c r="I415" s="12"/>
      <c r="J415" s="17">
        <v>40989</v>
      </c>
      <c r="K415" s="20">
        <f>23-426.34</f>
        <v>-403.34</v>
      </c>
      <c r="L415" s="26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</row>
    <row r="416" spans="1:52" s="37" customFormat="1">
      <c r="A416" s="22">
        <v>40957</v>
      </c>
      <c r="B416" s="15">
        <v>-377.74</v>
      </c>
      <c r="C416" s="15"/>
      <c r="D416" s="17">
        <v>40902</v>
      </c>
      <c r="E416" s="12">
        <v>-292.01</v>
      </c>
      <c r="F416" s="12"/>
      <c r="G416" s="17">
        <v>40918</v>
      </c>
      <c r="H416" s="12">
        <v>-425.18</v>
      </c>
      <c r="I416" s="12"/>
      <c r="J416" s="17">
        <v>40990</v>
      </c>
      <c r="K416" s="20">
        <f>23-421.83</f>
        <v>-398.83</v>
      </c>
      <c r="L416" s="26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</row>
    <row r="417" spans="1:52" s="37" customFormat="1">
      <c r="A417" s="22">
        <v>40958</v>
      </c>
      <c r="B417" s="15">
        <v>-377.52</v>
      </c>
      <c r="C417" s="15"/>
      <c r="D417" s="17">
        <v>40903</v>
      </c>
      <c r="E417" s="12">
        <v>-290.7</v>
      </c>
      <c r="F417" s="12"/>
      <c r="G417" s="17">
        <v>40919</v>
      </c>
      <c r="H417" s="12">
        <v>-426.95</v>
      </c>
      <c r="I417" s="12"/>
      <c r="J417" s="17">
        <v>40991</v>
      </c>
      <c r="K417" s="20">
        <f>23-421.98</f>
        <v>-398.98</v>
      </c>
      <c r="L417" s="26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</row>
    <row r="418" spans="1:52" s="37" customFormat="1">
      <c r="A418" s="22">
        <v>40959</v>
      </c>
      <c r="B418" s="15">
        <v>-374.71</v>
      </c>
      <c r="C418" s="15"/>
      <c r="D418" s="17">
        <v>40904</v>
      </c>
      <c r="E418" s="12">
        <v>-292.67</v>
      </c>
      <c r="F418" s="12"/>
      <c r="G418" s="17">
        <v>40922</v>
      </c>
      <c r="H418" s="12">
        <v>-428</v>
      </c>
      <c r="I418" s="12"/>
      <c r="J418" s="17">
        <v>40992</v>
      </c>
      <c r="K418" s="20">
        <f>23-425.46</f>
        <v>-402.46</v>
      </c>
      <c r="L418" s="26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</row>
    <row r="419" spans="1:52" s="37" customFormat="1">
      <c r="A419" s="22">
        <v>40960</v>
      </c>
      <c r="B419" s="15">
        <v>-372.94</v>
      </c>
      <c r="C419" s="15"/>
      <c r="D419" s="17">
        <v>40905</v>
      </c>
      <c r="E419" s="12">
        <v>-290.86</v>
      </c>
      <c r="F419" s="12"/>
      <c r="G419" s="17">
        <v>40923</v>
      </c>
      <c r="H419" s="12">
        <v>-426</v>
      </c>
      <c r="I419" s="12"/>
      <c r="J419" s="17">
        <v>40993</v>
      </c>
      <c r="K419" s="20">
        <f>23-423.37</f>
        <v>-400.37</v>
      </c>
      <c r="L419" s="26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</row>
    <row r="420" spans="1:52" s="37" customFormat="1">
      <c r="A420" s="22">
        <v>40961</v>
      </c>
      <c r="B420" s="15">
        <v>-377.9</v>
      </c>
      <c r="C420" s="15"/>
      <c r="D420" s="17">
        <v>40906</v>
      </c>
      <c r="E420" s="12">
        <v>-289.75</v>
      </c>
      <c r="F420" s="12"/>
      <c r="G420" s="17">
        <v>40924</v>
      </c>
      <c r="H420" s="12">
        <v>-426.8</v>
      </c>
      <c r="I420" s="12"/>
      <c r="J420" s="17">
        <v>40994</v>
      </c>
      <c r="K420" s="20">
        <f>23-425.18</f>
        <v>-402.18</v>
      </c>
      <c r="L420" s="26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</row>
    <row r="421" spans="1:52" s="37" customFormat="1">
      <c r="A421" s="22">
        <v>40962</v>
      </c>
      <c r="B421" s="15">
        <v>-377.17</v>
      </c>
      <c r="C421" s="15"/>
      <c r="D421" s="17">
        <v>40907</v>
      </c>
      <c r="E421" s="12">
        <v>-292.5</v>
      </c>
      <c r="F421" s="12"/>
      <c r="G421" s="17">
        <v>40925</v>
      </c>
      <c r="H421" s="12">
        <v>-430</v>
      </c>
      <c r="I421" s="12"/>
      <c r="J421" s="17">
        <v>40995</v>
      </c>
      <c r="K421" s="20">
        <f>23-424.14</f>
        <v>-401.14</v>
      </c>
      <c r="L421" s="26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</row>
    <row r="422" spans="1:52" s="37" customFormat="1">
      <c r="A422" s="22">
        <v>40963</v>
      </c>
      <c r="B422" s="15">
        <v>-377.1</v>
      </c>
      <c r="C422" s="15"/>
      <c r="D422" s="17">
        <v>40908</v>
      </c>
      <c r="E422" s="12">
        <v>-291.5</v>
      </c>
      <c r="F422" s="12"/>
      <c r="G422" s="17">
        <v>40926</v>
      </c>
      <c r="H422" s="12">
        <v>-430</v>
      </c>
      <c r="I422" s="12"/>
      <c r="J422" s="17">
        <v>40996</v>
      </c>
      <c r="K422" s="20">
        <f>23-427.27</f>
        <v>-404.27</v>
      </c>
      <c r="L422" s="26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</row>
    <row r="423" spans="1:52" s="37" customFormat="1">
      <c r="A423" s="22">
        <v>40964</v>
      </c>
      <c r="B423" s="15">
        <v>-375.86</v>
      </c>
      <c r="C423" s="15"/>
      <c r="D423" s="17">
        <v>40909</v>
      </c>
      <c r="E423" s="12">
        <v>-293.5</v>
      </c>
      <c r="F423" s="12"/>
      <c r="G423" s="17">
        <v>40927</v>
      </c>
      <c r="H423" s="12">
        <v>-432</v>
      </c>
      <c r="I423" s="12"/>
      <c r="J423" s="17">
        <v>40997</v>
      </c>
      <c r="K423" s="20">
        <f>23-427.35</f>
        <v>-404.35</v>
      </c>
      <c r="L423" s="26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</row>
    <row r="424" spans="1:52" s="37" customFormat="1">
      <c r="A424" s="22">
        <v>40965</v>
      </c>
      <c r="B424" s="15">
        <v>-375.14</v>
      </c>
      <c r="C424" s="15"/>
      <c r="D424" s="17">
        <v>40910</v>
      </c>
      <c r="E424" s="12">
        <v>-294.02999999999997</v>
      </c>
      <c r="F424" s="12"/>
      <c r="G424" s="17">
        <v>40928</v>
      </c>
      <c r="H424" s="12">
        <v>-434</v>
      </c>
      <c r="I424" s="12"/>
      <c r="J424" s="17">
        <v>40998</v>
      </c>
      <c r="K424" s="20">
        <f>23-429.02</f>
        <v>-406.02</v>
      </c>
      <c r="L424" s="26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</row>
    <row r="425" spans="1:52" s="37" customFormat="1">
      <c r="A425" s="22">
        <v>40966</v>
      </c>
      <c r="B425" s="15">
        <v>-376.58</v>
      </c>
      <c r="C425" s="15"/>
      <c r="D425" s="17">
        <v>40911</v>
      </c>
      <c r="E425" s="12">
        <v>-293.8</v>
      </c>
      <c r="F425" s="12"/>
      <c r="G425" s="17">
        <v>40929</v>
      </c>
      <c r="H425" s="12">
        <v>-434</v>
      </c>
      <c r="I425" s="12"/>
      <c r="J425" s="17">
        <v>40999</v>
      </c>
      <c r="K425" s="20">
        <f>23-428.6</f>
        <v>-405.6</v>
      </c>
      <c r="L425" s="26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</row>
    <row r="426" spans="1:52" s="37" customFormat="1">
      <c r="A426" s="22">
        <v>40967</v>
      </c>
      <c r="B426" s="15">
        <v>-373.79</v>
      </c>
      <c r="C426" s="15"/>
      <c r="D426" s="17">
        <v>40912</v>
      </c>
      <c r="E426" s="12">
        <v>-289.05</v>
      </c>
      <c r="F426" s="12"/>
      <c r="G426" s="17">
        <v>40934</v>
      </c>
      <c r="H426" s="12">
        <v>-434</v>
      </c>
      <c r="I426" s="12"/>
      <c r="J426" s="17">
        <v>41000</v>
      </c>
      <c r="K426" s="20">
        <f>23-430.28</f>
        <v>-407.28</v>
      </c>
      <c r="L426" s="26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</row>
    <row r="427" spans="1:52" s="37" customFormat="1">
      <c r="A427" s="22">
        <v>40968</v>
      </c>
      <c r="B427" s="15">
        <v>-369.7</v>
      </c>
      <c r="C427" s="15"/>
      <c r="D427" s="17">
        <v>40913</v>
      </c>
      <c r="E427" s="12">
        <v>-285.93</v>
      </c>
      <c r="F427" s="12"/>
      <c r="G427" s="17">
        <v>40935</v>
      </c>
      <c r="H427" s="12">
        <v>-450</v>
      </c>
      <c r="I427" s="12"/>
      <c r="J427" s="17">
        <v>41001</v>
      </c>
      <c r="K427" s="20">
        <f>23-429.73</f>
        <v>-406.73</v>
      </c>
      <c r="L427" s="26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</row>
    <row r="428" spans="1:52" s="37" customFormat="1">
      <c r="A428" s="22">
        <v>40969</v>
      </c>
      <c r="B428" s="15">
        <v>-375.98</v>
      </c>
      <c r="C428" s="15"/>
      <c r="D428" s="17">
        <v>40914</v>
      </c>
      <c r="E428" s="12">
        <v>-285.93</v>
      </c>
      <c r="F428" s="12"/>
      <c r="G428" s="17">
        <v>40936</v>
      </c>
      <c r="H428" s="12">
        <v>-456.68</v>
      </c>
      <c r="I428" s="12"/>
      <c r="J428" s="17">
        <v>41002</v>
      </c>
      <c r="K428" s="20">
        <f>23-436.67</f>
        <v>-413.67</v>
      </c>
      <c r="L428" s="26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</row>
    <row r="429" spans="1:52" s="37" customFormat="1">
      <c r="A429" s="22">
        <v>40970</v>
      </c>
      <c r="B429" s="15">
        <v>-375.9</v>
      </c>
      <c r="C429" s="15"/>
      <c r="D429" s="17">
        <v>40915</v>
      </c>
      <c r="E429" s="12">
        <v>-285.93</v>
      </c>
      <c r="F429" s="12"/>
      <c r="G429" s="17">
        <v>40937</v>
      </c>
      <c r="H429" s="12">
        <v>-456.46</v>
      </c>
      <c r="I429" s="12"/>
      <c r="J429" s="17">
        <v>41003</v>
      </c>
      <c r="K429" s="20">
        <f>23-429.12</f>
        <v>-406.12</v>
      </c>
      <c r="L429" s="26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</row>
    <row r="430" spans="1:52" s="37" customFormat="1">
      <c r="A430" s="22">
        <v>40971</v>
      </c>
      <c r="B430" s="15">
        <v>-375.98</v>
      </c>
      <c r="C430" s="15"/>
      <c r="D430" s="17">
        <v>40916</v>
      </c>
      <c r="E430" s="12">
        <v>-285.93</v>
      </c>
      <c r="F430" s="12"/>
      <c r="G430" s="17">
        <v>40938</v>
      </c>
      <c r="H430" s="12">
        <v>-447.75</v>
      </c>
      <c r="I430" s="12"/>
      <c r="J430" s="17">
        <v>41004</v>
      </c>
      <c r="K430" s="20">
        <f>23-428.97</f>
        <v>-405.97</v>
      </c>
      <c r="L430" s="26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</row>
    <row r="431" spans="1:52" s="37" customFormat="1">
      <c r="A431" s="22">
        <v>40972</v>
      </c>
      <c r="B431" s="15">
        <v>-376.47</v>
      </c>
      <c r="C431" s="15"/>
      <c r="D431" s="17">
        <v>40917</v>
      </c>
      <c r="E431" s="12">
        <v>-285.36</v>
      </c>
      <c r="F431" s="12"/>
      <c r="G431" s="17">
        <v>40939</v>
      </c>
      <c r="H431" s="12">
        <v>-450.76</v>
      </c>
      <c r="I431" s="12"/>
      <c r="J431" s="17">
        <v>41005</v>
      </c>
      <c r="K431" s="12">
        <f>23-427.97</f>
        <v>-404.97</v>
      </c>
      <c r="L431" s="26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</row>
    <row r="432" spans="1:52" s="37" customFormat="1">
      <c r="A432" s="22">
        <v>40973</v>
      </c>
      <c r="B432" s="15">
        <v>-377.12</v>
      </c>
      <c r="C432" s="15"/>
      <c r="D432" s="17">
        <v>40918</v>
      </c>
      <c r="E432" s="12">
        <v>-283.25</v>
      </c>
      <c r="F432" s="12"/>
      <c r="G432" s="17">
        <v>40940</v>
      </c>
      <c r="H432" s="12">
        <v>-442.69</v>
      </c>
      <c r="I432" s="12"/>
      <c r="J432" s="17">
        <v>41006</v>
      </c>
      <c r="K432" s="20">
        <f>23-431.95</f>
        <v>-408.95</v>
      </c>
      <c r="L432" s="26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</row>
    <row r="433" spans="1:52" s="37" customFormat="1">
      <c r="A433" s="22">
        <v>40974</v>
      </c>
      <c r="B433" s="15">
        <v>-378.28</v>
      </c>
      <c r="C433" s="15"/>
      <c r="D433" s="17">
        <v>40919</v>
      </c>
      <c r="E433" s="12">
        <v>-284.62</v>
      </c>
      <c r="F433" s="12"/>
      <c r="G433" s="17">
        <v>40941</v>
      </c>
      <c r="H433" s="12">
        <v>-441.9</v>
      </c>
      <c r="I433" s="12"/>
      <c r="J433" s="17">
        <v>41007</v>
      </c>
      <c r="K433" s="20">
        <f>23-429.56</f>
        <v>-406.56</v>
      </c>
      <c r="L433" s="26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</row>
    <row r="434" spans="1:52" s="37" customFormat="1">
      <c r="A434" s="22">
        <v>40975</v>
      </c>
      <c r="B434" s="15">
        <v>-379.66</v>
      </c>
      <c r="C434" s="15"/>
      <c r="D434" s="17">
        <v>40922</v>
      </c>
      <c r="E434" s="12">
        <v>-284.5</v>
      </c>
      <c r="F434" s="12"/>
      <c r="G434" s="17">
        <v>40942</v>
      </c>
      <c r="H434" s="12">
        <v>-441.4</v>
      </c>
      <c r="I434" s="12"/>
      <c r="J434" s="17">
        <v>41008</v>
      </c>
      <c r="K434" s="20">
        <f>23-429.84</f>
        <v>-406.84</v>
      </c>
      <c r="L434" s="26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</row>
    <row r="435" spans="1:52" s="37" customFormat="1">
      <c r="A435" s="22">
        <v>40976</v>
      </c>
      <c r="B435" s="15">
        <v>-378.86</v>
      </c>
      <c r="C435" s="15"/>
      <c r="D435" s="17">
        <v>40923</v>
      </c>
      <c r="E435" s="12">
        <v>-288.5</v>
      </c>
      <c r="F435" s="12"/>
      <c r="G435" s="17">
        <v>40943</v>
      </c>
      <c r="H435" s="12">
        <v>-451</v>
      </c>
      <c r="I435" s="12"/>
      <c r="J435" s="17">
        <v>41009</v>
      </c>
      <c r="K435" s="20">
        <f>23-424.47</f>
        <v>-401.47</v>
      </c>
      <c r="L435" s="26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</row>
    <row r="436" spans="1:52" s="37" customFormat="1">
      <c r="A436" s="22">
        <v>40977</v>
      </c>
      <c r="B436" s="15">
        <v>-380.36</v>
      </c>
      <c r="C436" s="15"/>
      <c r="D436" s="17">
        <v>40924</v>
      </c>
      <c r="E436" s="12">
        <v>-288</v>
      </c>
      <c r="F436" s="16"/>
      <c r="G436" s="17">
        <v>40944</v>
      </c>
      <c r="H436" s="12">
        <v>-451</v>
      </c>
      <c r="I436" s="12"/>
      <c r="J436" s="17">
        <v>41010</v>
      </c>
      <c r="K436" s="20">
        <f>23-428.39</f>
        <v>-405.39</v>
      </c>
      <c r="L436" s="26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</row>
    <row r="437" spans="1:52">
      <c r="A437" s="22">
        <v>40978</v>
      </c>
      <c r="B437" s="15">
        <v>-380.59</v>
      </c>
      <c r="C437" s="15"/>
      <c r="D437" s="17">
        <v>40925</v>
      </c>
      <c r="E437" s="12">
        <v>-290.5</v>
      </c>
      <c r="G437" s="17">
        <v>40945</v>
      </c>
      <c r="H437" s="12">
        <v>-455</v>
      </c>
      <c r="J437" s="17">
        <v>41011</v>
      </c>
      <c r="K437" s="20">
        <f>23-429.81</f>
        <v>-406.81</v>
      </c>
    </row>
    <row r="438" spans="1:52">
      <c r="A438" s="22">
        <v>40979</v>
      </c>
      <c r="B438" s="15">
        <v>-378.51</v>
      </c>
      <c r="C438" s="15"/>
      <c r="D438" s="17">
        <v>40926</v>
      </c>
      <c r="E438" s="12">
        <v>-291.5</v>
      </c>
      <c r="G438" s="17">
        <v>40946</v>
      </c>
      <c r="H438" s="12">
        <v>-453</v>
      </c>
      <c r="J438" s="17">
        <v>41012</v>
      </c>
      <c r="K438" s="20">
        <f>23-428.76</f>
        <v>-405.76</v>
      </c>
    </row>
    <row r="439" spans="1:52">
      <c r="A439" s="22">
        <v>40980</v>
      </c>
      <c r="B439" s="15">
        <v>-381.06</v>
      </c>
      <c r="C439" s="15"/>
      <c r="D439" s="17">
        <v>40927</v>
      </c>
      <c r="E439" s="12">
        <v>-290.5</v>
      </c>
      <c r="G439" s="17">
        <v>40947</v>
      </c>
      <c r="H439" s="12">
        <v>-451</v>
      </c>
      <c r="J439" s="17">
        <v>41013</v>
      </c>
      <c r="K439" s="20">
        <f>23-425.96</f>
        <v>-402.96</v>
      </c>
    </row>
    <row r="440" spans="1:52">
      <c r="A440" s="22">
        <v>40981</v>
      </c>
      <c r="B440" s="15">
        <v>-379.49</v>
      </c>
      <c r="C440" s="15"/>
      <c r="D440" s="17">
        <v>40928</v>
      </c>
      <c r="E440" s="12">
        <v>-295.5</v>
      </c>
      <c r="G440" s="17">
        <v>40948</v>
      </c>
      <c r="H440" s="12">
        <v>-446.77</v>
      </c>
      <c r="J440" s="17">
        <v>41014</v>
      </c>
      <c r="K440" s="20">
        <f>23-426.95</f>
        <v>-403.95</v>
      </c>
    </row>
    <row r="441" spans="1:52">
      <c r="A441" s="22">
        <v>40982</v>
      </c>
      <c r="B441" s="15">
        <v>-381.5</v>
      </c>
      <c r="C441" s="15"/>
      <c r="D441" s="17">
        <v>40929</v>
      </c>
      <c r="E441" s="12">
        <v>-299.5</v>
      </c>
      <c r="G441" s="17">
        <v>40949</v>
      </c>
      <c r="H441" s="12">
        <v>-448.49</v>
      </c>
      <c r="J441" s="17">
        <v>41015</v>
      </c>
      <c r="K441" s="20">
        <f>23-428.44</f>
        <v>-405.44</v>
      </c>
    </row>
    <row r="442" spans="1:52">
      <c r="A442" s="22">
        <v>40983</v>
      </c>
      <c r="B442" s="15">
        <v>-380.42</v>
      </c>
      <c r="C442" s="15"/>
      <c r="D442" s="17">
        <v>40934</v>
      </c>
      <c r="E442" s="12">
        <v>-302.5</v>
      </c>
      <c r="G442" s="17">
        <v>40950</v>
      </c>
      <c r="H442" s="12">
        <v>-461.62</v>
      </c>
      <c r="J442" s="17">
        <v>41016</v>
      </c>
      <c r="K442" s="20">
        <f>23-427.7</f>
        <v>-404.7</v>
      </c>
    </row>
    <row r="443" spans="1:52">
      <c r="A443" s="22">
        <v>40984</v>
      </c>
      <c r="B443" s="15">
        <v>-378.76</v>
      </c>
      <c r="C443" s="15"/>
      <c r="D443" s="17">
        <v>40935</v>
      </c>
      <c r="E443" s="12">
        <v>-303.5</v>
      </c>
      <c r="G443" s="17">
        <v>40951</v>
      </c>
      <c r="H443" s="12">
        <v>-453.39</v>
      </c>
      <c r="J443" s="17">
        <v>41017</v>
      </c>
      <c r="K443" s="20">
        <f>23-427.98</f>
        <v>-404.98</v>
      </c>
    </row>
    <row r="444" spans="1:52">
      <c r="A444" s="22">
        <v>40985</v>
      </c>
      <c r="B444" s="15">
        <v>-378.61</v>
      </c>
      <c r="C444" s="15"/>
      <c r="D444" s="17">
        <v>40936</v>
      </c>
      <c r="E444" s="12">
        <v>-301.20999999999998</v>
      </c>
      <c r="G444" s="17">
        <v>40952</v>
      </c>
      <c r="H444" s="12">
        <v>-449.94</v>
      </c>
      <c r="J444" s="17">
        <v>41018</v>
      </c>
      <c r="K444" s="20">
        <f>23-431.24</f>
        <v>-408.24</v>
      </c>
    </row>
    <row r="445" spans="1:52">
      <c r="A445" s="22">
        <v>40986</v>
      </c>
      <c r="B445" s="15">
        <v>-378.39</v>
      </c>
      <c r="C445" s="15"/>
      <c r="D445" s="17">
        <v>40937</v>
      </c>
      <c r="E445" s="12">
        <v>-311.7</v>
      </c>
      <c r="G445" s="17">
        <v>40953</v>
      </c>
      <c r="H445" s="12">
        <v>-440.12</v>
      </c>
      <c r="J445" s="17">
        <v>41019</v>
      </c>
      <c r="K445" s="20">
        <f>23-428.94</f>
        <v>-405.94</v>
      </c>
    </row>
    <row r="446" spans="1:52">
      <c r="A446" s="22">
        <v>40987</v>
      </c>
      <c r="B446" s="15">
        <v>-377.27</v>
      </c>
      <c r="C446" s="15"/>
      <c r="D446" s="17">
        <v>40938</v>
      </c>
      <c r="E446" s="12">
        <v>-302.91000000000003</v>
      </c>
      <c r="G446" s="17">
        <v>40954</v>
      </c>
      <c r="H446" s="12">
        <v>-439.53</v>
      </c>
      <c r="J446" s="17">
        <v>41020</v>
      </c>
      <c r="K446" s="20">
        <f>23-431.81</f>
        <v>-408.81</v>
      </c>
    </row>
    <row r="447" spans="1:52">
      <c r="A447" s="22">
        <v>40989</v>
      </c>
      <c r="B447" s="15">
        <v>-376.87</v>
      </c>
      <c r="C447" s="15"/>
      <c r="D447" s="17">
        <v>40939</v>
      </c>
      <c r="E447" s="12">
        <v>-318.37</v>
      </c>
      <c r="G447" s="17">
        <v>40955</v>
      </c>
      <c r="H447" s="12">
        <v>-456.74</v>
      </c>
      <c r="J447" s="17">
        <v>41021</v>
      </c>
      <c r="K447" s="20">
        <f>23-431.24</f>
        <v>-408.24</v>
      </c>
    </row>
    <row r="448" spans="1:52">
      <c r="A448" s="22">
        <v>40990</v>
      </c>
      <c r="B448" s="15">
        <v>-380.12</v>
      </c>
      <c r="C448" s="15"/>
      <c r="D448" s="17">
        <v>40940</v>
      </c>
      <c r="E448" s="12">
        <v>-319.29000000000002</v>
      </c>
      <c r="G448" s="17">
        <v>40956</v>
      </c>
      <c r="H448" s="12">
        <v>-455.83</v>
      </c>
      <c r="J448" s="17">
        <v>41022</v>
      </c>
      <c r="K448" s="20">
        <f>23-433.13</f>
        <v>-410.13</v>
      </c>
    </row>
    <row r="449" spans="1:52">
      <c r="A449" s="22">
        <v>40991</v>
      </c>
      <c r="B449" s="15">
        <v>-382.21</v>
      </c>
      <c r="C449" s="15"/>
      <c r="D449" s="17">
        <v>40941</v>
      </c>
      <c r="E449" s="12">
        <v>-317.3</v>
      </c>
      <c r="G449" s="17">
        <v>40957</v>
      </c>
      <c r="H449" s="12">
        <v>-447.34</v>
      </c>
      <c r="J449" s="17">
        <v>41023</v>
      </c>
      <c r="K449" s="20">
        <f>23-432.19</f>
        <v>-409.19</v>
      </c>
    </row>
    <row r="450" spans="1:52">
      <c r="A450" s="22">
        <v>40992</v>
      </c>
      <c r="B450" s="15">
        <v>-382.18</v>
      </c>
      <c r="C450" s="15"/>
      <c r="D450" s="17">
        <v>40942</v>
      </c>
      <c r="E450" s="12">
        <v>-321.8</v>
      </c>
      <c r="G450" s="17">
        <v>40958</v>
      </c>
      <c r="H450" s="12">
        <v>-448.36</v>
      </c>
      <c r="J450" s="17">
        <v>41024</v>
      </c>
      <c r="K450" s="20">
        <f>23-430.96</f>
        <v>-407.96</v>
      </c>
    </row>
    <row r="451" spans="1:52">
      <c r="A451" s="22">
        <v>40993</v>
      </c>
      <c r="B451" s="15">
        <v>-382.09</v>
      </c>
      <c r="C451" s="15"/>
      <c r="D451" s="17">
        <v>40943</v>
      </c>
      <c r="E451" s="12">
        <v>-325.5</v>
      </c>
      <c r="G451" s="17">
        <v>40959</v>
      </c>
      <c r="H451" s="12">
        <v>-442.29</v>
      </c>
      <c r="J451" s="17">
        <v>41025</v>
      </c>
      <c r="K451" s="20">
        <f>23-436.69</f>
        <v>-413.69</v>
      </c>
    </row>
    <row r="452" spans="1:52">
      <c r="A452" s="22">
        <v>40994</v>
      </c>
      <c r="B452" s="15">
        <v>-383.58</v>
      </c>
      <c r="C452" s="15"/>
      <c r="D452" s="17">
        <v>40944</v>
      </c>
      <c r="E452" s="12">
        <v>-329.5</v>
      </c>
      <c r="G452" s="17">
        <v>40960</v>
      </c>
      <c r="H452" s="12">
        <v>-438.09</v>
      </c>
      <c r="J452" s="17">
        <v>41026</v>
      </c>
      <c r="K452" s="20">
        <f>23-430.35</f>
        <v>-407.35</v>
      </c>
    </row>
    <row r="453" spans="1:52" s="37" customFormat="1">
      <c r="A453" s="22">
        <v>40995</v>
      </c>
      <c r="B453" s="15">
        <v>-384.42</v>
      </c>
      <c r="C453" s="15"/>
      <c r="D453" s="17">
        <v>40945</v>
      </c>
      <c r="E453" s="12">
        <v>-328.5</v>
      </c>
      <c r="F453" s="12"/>
      <c r="G453" s="17">
        <v>40961</v>
      </c>
      <c r="H453" s="12">
        <v>-442.95</v>
      </c>
      <c r="I453" s="12"/>
      <c r="J453" s="17">
        <v>41027</v>
      </c>
      <c r="K453" s="12">
        <f>23-433.74</f>
        <v>-410.74</v>
      </c>
      <c r="L453" s="26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</row>
    <row r="454" spans="1:52" s="37" customFormat="1">
      <c r="A454" s="22">
        <v>40996</v>
      </c>
      <c r="B454" s="15">
        <v>-383.38</v>
      </c>
      <c r="C454" s="15"/>
      <c r="D454" s="17">
        <v>40946</v>
      </c>
      <c r="E454" s="12">
        <v>-328.5</v>
      </c>
      <c r="F454" s="12"/>
      <c r="G454" s="17">
        <v>40962</v>
      </c>
      <c r="H454" s="12">
        <v>-443.54</v>
      </c>
      <c r="I454" s="12"/>
      <c r="J454" s="17">
        <v>41028</v>
      </c>
      <c r="K454" s="20">
        <f>23-432.57</f>
        <v>-409.57</v>
      </c>
      <c r="L454" s="26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</row>
    <row r="455" spans="1:52" s="37" customFormat="1">
      <c r="A455" s="22">
        <v>40997</v>
      </c>
      <c r="B455" s="15">
        <v>-382.85</v>
      </c>
      <c r="C455" s="15"/>
      <c r="D455" s="17">
        <v>40947</v>
      </c>
      <c r="E455" s="12">
        <v>-332.5</v>
      </c>
      <c r="F455" s="12"/>
      <c r="G455" s="17">
        <v>40963</v>
      </c>
      <c r="H455" s="12">
        <v>-445.5</v>
      </c>
      <c r="I455" s="12"/>
      <c r="J455" s="17">
        <v>41029</v>
      </c>
      <c r="K455" s="20">
        <f>23-435.28</f>
        <v>-412.28</v>
      </c>
      <c r="L455" s="26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</row>
    <row r="456" spans="1:52" s="37" customFormat="1">
      <c r="A456" s="22">
        <v>40998</v>
      </c>
      <c r="B456" s="15">
        <v>-385.25</v>
      </c>
      <c r="C456" s="15"/>
      <c r="D456" s="17">
        <v>40948</v>
      </c>
      <c r="E456" s="12">
        <v>-334.72</v>
      </c>
      <c r="F456" s="12"/>
      <c r="G456" s="17">
        <v>40964</v>
      </c>
      <c r="H456" s="12">
        <v>-446.77</v>
      </c>
      <c r="I456" s="12"/>
      <c r="J456" s="17">
        <v>41030</v>
      </c>
      <c r="K456" s="20">
        <f>23-431.84</f>
        <v>-408.84</v>
      </c>
      <c r="L456" s="26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</row>
    <row r="457" spans="1:52" s="37" customFormat="1">
      <c r="A457" s="22">
        <v>40999</v>
      </c>
      <c r="B457" s="15">
        <v>-388</v>
      </c>
      <c r="C457" s="15"/>
      <c r="D457" s="17">
        <v>40949</v>
      </c>
      <c r="E457" s="12">
        <v>-336.16</v>
      </c>
      <c r="F457" s="12"/>
      <c r="G457" s="17">
        <v>40965</v>
      </c>
      <c r="H457" s="12">
        <v>-445.85</v>
      </c>
      <c r="I457" s="12"/>
      <c r="J457" s="17">
        <v>41031</v>
      </c>
      <c r="K457" s="20">
        <f>23-430.7</f>
        <v>-407.7</v>
      </c>
      <c r="L457" s="26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</row>
    <row r="458" spans="1:52" s="37" customFormat="1">
      <c r="A458" s="22">
        <v>41000</v>
      </c>
      <c r="B458" s="15">
        <v>-384.78</v>
      </c>
      <c r="C458" s="15"/>
      <c r="D458" s="17">
        <v>40950</v>
      </c>
      <c r="E458" s="12">
        <v>-339.17</v>
      </c>
      <c r="F458" s="12"/>
      <c r="G458" s="17">
        <v>40966</v>
      </c>
      <c r="H458" s="12">
        <v>-434.49</v>
      </c>
      <c r="I458" s="12"/>
      <c r="J458" s="17">
        <v>41032</v>
      </c>
      <c r="K458" s="20">
        <f>23-434.62</f>
        <v>-411.62</v>
      </c>
      <c r="L458" s="26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</row>
    <row r="459" spans="1:52" s="37" customFormat="1">
      <c r="A459" s="22">
        <v>41001</v>
      </c>
      <c r="B459" s="15">
        <v>-387.19</v>
      </c>
      <c r="C459" s="15"/>
      <c r="D459" s="17">
        <v>40951</v>
      </c>
      <c r="E459" s="12">
        <v>-335.31</v>
      </c>
      <c r="F459" s="12"/>
      <c r="G459" s="17">
        <v>40967</v>
      </c>
      <c r="H459" s="12">
        <v>-443.88</v>
      </c>
      <c r="I459" s="12"/>
      <c r="J459" s="17">
        <v>41033</v>
      </c>
      <c r="K459" s="20">
        <f>23-430.3</f>
        <v>-407.3</v>
      </c>
      <c r="L459" s="26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</row>
    <row r="460" spans="1:52" s="37" customFormat="1">
      <c r="A460" s="22">
        <v>41002</v>
      </c>
      <c r="B460" s="15">
        <v>-388.69</v>
      </c>
      <c r="C460" s="15"/>
      <c r="D460" s="17">
        <v>40952</v>
      </c>
      <c r="E460" s="12">
        <v>-335.71</v>
      </c>
      <c r="F460" s="16"/>
      <c r="G460" s="17">
        <v>40968</v>
      </c>
      <c r="H460" s="12">
        <v>-445.94</v>
      </c>
      <c r="I460" s="12"/>
      <c r="J460" s="17">
        <v>41034</v>
      </c>
      <c r="K460" s="20">
        <f>23-433.66</f>
        <v>-410.66</v>
      </c>
      <c r="L460" s="26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</row>
    <row r="461" spans="1:52" s="37" customFormat="1">
      <c r="A461" s="22">
        <v>41004</v>
      </c>
      <c r="B461" s="15">
        <v>-391.21</v>
      </c>
      <c r="C461" s="15"/>
      <c r="D461" s="17">
        <v>40953</v>
      </c>
      <c r="E461" s="12">
        <v>-337.32</v>
      </c>
      <c r="F461" s="12"/>
      <c r="G461" s="17">
        <v>40969</v>
      </c>
      <c r="H461" s="12">
        <v>-441.68</v>
      </c>
      <c r="I461" s="12"/>
      <c r="J461" s="17">
        <v>41035</v>
      </c>
      <c r="K461" s="20">
        <f>23-432.74</f>
        <v>-409.74</v>
      </c>
      <c r="L461" s="26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</row>
    <row r="462" spans="1:52" s="37" customFormat="1">
      <c r="A462" s="22">
        <v>41008</v>
      </c>
      <c r="B462" s="15">
        <v>-394.31</v>
      </c>
      <c r="C462" s="15"/>
      <c r="D462" s="17">
        <v>40954</v>
      </c>
      <c r="E462" s="12">
        <v>-343.75</v>
      </c>
      <c r="F462" s="12"/>
      <c r="G462" s="17">
        <v>40970</v>
      </c>
      <c r="H462" s="12">
        <v>-444.75</v>
      </c>
      <c r="I462" s="12"/>
      <c r="J462" s="17">
        <v>41036</v>
      </c>
      <c r="K462" s="20">
        <f>23-432.53</f>
        <v>-409.53</v>
      </c>
      <c r="L462" s="26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</row>
    <row r="463" spans="1:52" s="37" customFormat="1">
      <c r="A463" s="22">
        <v>41011</v>
      </c>
      <c r="B463" s="15">
        <v>-396.36</v>
      </c>
      <c r="C463" s="15"/>
      <c r="D463" s="17">
        <v>40955</v>
      </c>
      <c r="E463" s="12">
        <v>-334.16</v>
      </c>
      <c r="F463" s="12"/>
      <c r="G463" s="17">
        <v>40971</v>
      </c>
      <c r="H463" s="12">
        <v>-446.79</v>
      </c>
      <c r="I463" s="12"/>
      <c r="J463" s="17">
        <v>41037</v>
      </c>
      <c r="K463" s="20">
        <f>23-433.77</f>
        <v>-410.77</v>
      </c>
      <c r="L463" s="26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</row>
    <row r="464" spans="1:52" s="37" customFormat="1">
      <c r="A464" s="22">
        <v>41015</v>
      </c>
      <c r="B464" s="15">
        <v>-394.61</v>
      </c>
      <c r="C464" s="15"/>
      <c r="D464" s="17">
        <v>40956</v>
      </c>
      <c r="E464" s="12">
        <v>-334.97</v>
      </c>
      <c r="F464" s="12"/>
      <c r="G464" s="17">
        <v>40972</v>
      </c>
      <c r="H464" s="12">
        <v>-444.73</v>
      </c>
      <c r="I464" s="12"/>
      <c r="J464" s="17">
        <v>41038</v>
      </c>
      <c r="K464" s="20">
        <f>23-438.94</f>
        <v>-415.94</v>
      </c>
      <c r="L464" s="26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</row>
    <row r="465" spans="1:52" s="37" customFormat="1">
      <c r="A465" s="22">
        <v>41018</v>
      </c>
      <c r="B465" s="15">
        <v>-396.09</v>
      </c>
      <c r="C465" s="15"/>
      <c r="D465" s="17">
        <v>40957</v>
      </c>
      <c r="E465" s="12">
        <v>-343.02</v>
      </c>
      <c r="F465" s="12"/>
      <c r="G465" s="17">
        <v>40973</v>
      </c>
      <c r="H465" s="12">
        <v>-448.15</v>
      </c>
      <c r="I465" s="12"/>
      <c r="J465" s="17">
        <v>41039</v>
      </c>
      <c r="K465" s="20">
        <f>23-441.65</f>
        <v>-418.65</v>
      </c>
      <c r="L465" s="26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</row>
    <row r="466" spans="1:52" s="37" customFormat="1">
      <c r="A466" s="22">
        <v>41022</v>
      </c>
      <c r="B466" s="15">
        <v>-394.82</v>
      </c>
      <c r="C466" s="15"/>
      <c r="D466" s="17">
        <v>40958</v>
      </c>
      <c r="E466" s="12">
        <v>-331.33</v>
      </c>
      <c r="F466" s="12"/>
      <c r="G466" s="17">
        <v>40974</v>
      </c>
      <c r="H466" s="12">
        <v>-445.35</v>
      </c>
      <c r="I466" s="12"/>
      <c r="J466" s="17">
        <v>41040</v>
      </c>
      <c r="K466" s="20">
        <f>23-440.43</f>
        <v>-417.43</v>
      </c>
      <c r="L466" s="26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</row>
    <row r="467" spans="1:52" s="37" customFormat="1">
      <c r="A467" s="22">
        <v>41025</v>
      </c>
      <c r="B467" s="15">
        <v>-405.23</v>
      </c>
      <c r="C467" s="15"/>
      <c r="D467" s="17">
        <v>40959</v>
      </c>
      <c r="E467" s="12">
        <v>-337.04</v>
      </c>
      <c r="F467" s="12"/>
      <c r="G467" s="17">
        <v>40975</v>
      </c>
      <c r="H467" s="12">
        <v>-444.67</v>
      </c>
      <c r="I467" s="12"/>
      <c r="J467" s="17">
        <v>41041</v>
      </c>
      <c r="K467" s="20">
        <f>23-442.55</f>
        <v>-419.55</v>
      </c>
      <c r="L467" s="26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</row>
    <row r="468" spans="1:52" s="37" customFormat="1">
      <c r="A468" s="22">
        <v>41029</v>
      </c>
      <c r="B468" s="15">
        <v>-403.74</v>
      </c>
      <c r="C468" s="15"/>
      <c r="D468" s="17">
        <v>40960</v>
      </c>
      <c r="E468" s="12">
        <v>-335.01</v>
      </c>
      <c r="F468" s="12"/>
      <c r="G468" s="17">
        <v>40976</v>
      </c>
      <c r="H468" s="12">
        <v>-445.04</v>
      </c>
      <c r="I468" s="12"/>
      <c r="J468" s="17">
        <v>41042</v>
      </c>
      <c r="K468" s="20">
        <f>23-443.96</f>
        <v>-420.96</v>
      </c>
      <c r="L468" s="26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</row>
    <row r="469" spans="1:52" s="37" customFormat="1">
      <c r="A469" s="22">
        <v>41033</v>
      </c>
      <c r="B469" s="15">
        <v>-407.87</v>
      </c>
      <c r="C469" s="15"/>
      <c r="D469" s="17">
        <v>40961</v>
      </c>
      <c r="E469" s="12">
        <v>-334.28</v>
      </c>
      <c r="F469" s="12"/>
      <c r="G469" s="17">
        <v>40977</v>
      </c>
      <c r="H469" s="12">
        <v>-444.87</v>
      </c>
      <c r="I469" s="12"/>
      <c r="J469" s="17">
        <v>41043</v>
      </c>
      <c r="K469" s="20">
        <f>23-446.82</f>
        <v>-423.82</v>
      </c>
      <c r="L469" s="26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</row>
    <row r="470" spans="1:52" s="37" customFormat="1">
      <c r="A470" s="22">
        <v>41036</v>
      </c>
      <c r="B470" s="15">
        <v>-404.31</v>
      </c>
      <c r="C470" s="15"/>
      <c r="D470" s="17">
        <v>40962</v>
      </c>
      <c r="E470" s="12">
        <v>-336.24</v>
      </c>
      <c r="F470" s="12"/>
      <c r="G470" s="17">
        <v>40978</v>
      </c>
      <c r="H470" s="12">
        <v>-445.12</v>
      </c>
      <c r="I470" s="12"/>
      <c r="J470" s="17">
        <v>41044</v>
      </c>
      <c r="K470" s="20">
        <f>23-445.97</f>
        <v>-422.97</v>
      </c>
      <c r="L470" s="26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</row>
    <row r="471" spans="1:52" s="37" customFormat="1">
      <c r="A471" s="22">
        <v>41038</v>
      </c>
      <c r="B471" s="15">
        <v>-403.16</v>
      </c>
      <c r="C471" s="15"/>
      <c r="D471" s="17">
        <v>40963</v>
      </c>
      <c r="E471" s="12">
        <v>-337.7</v>
      </c>
      <c r="F471" s="12"/>
      <c r="G471" s="17">
        <v>40979</v>
      </c>
      <c r="H471" s="12">
        <v>-445.42</v>
      </c>
      <c r="I471" s="12"/>
      <c r="J471" s="17">
        <v>41045</v>
      </c>
      <c r="K471" s="20">
        <f>23-445.96</f>
        <v>-422.96</v>
      </c>
      <c r="L471" s="26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</row>
    <row r="472" spans="1:52" s="37" customFormat="1">
      <c r="A472" s="22">
        <v>41040</v>
      </c>
      <c r="B472" s="15">
        <v>-403.04</v>
      </c>
      <c r="C472" s="15"/>
      <c r="D472" s="17">
        <v>40964</v>
      </c>
      <c r="E472" s="12">
        <v>-339.89</v>
      </c>
      <c r="F472" s="12"/>
      <c r="G472" s="17">
        <v>40980</v>
      </c>
      <c r="H472" s="12">
        <v>-447.07</v>
      </c>
      <c r="I472" s="12"/>
      <c r="J472" s="17">
        <v>41046</v>
      </c>
      <c r="K472" s="20">
        <f>23-443.22</f>
        <v>-420.22</v>
      </c>
      <c r="L472" s="26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</row>
    <row r="473" spans="1:52" s="37" customFormat="1">
      <c r="A473" s="22">
        <v>41043</v>
      </c>
      <c r="B473" s="15">
        <v>-409.94</v>
      </c>
      <c r="C473" s="15"/>
      <c r="D473" s="17">
        <v>40965</v>
      </c>
      <c r="E473" s="12">
        <v>-340.95</v>
      </c>
      <c r="F473" s="12"/>
      <c r="G473" s="17">
        <v>40981</v>
      </c>
      <c r="H473" s="12">
        <v>-447.14</v>
      </c>
      <c r="I473" s="12"/>
      <c r="J473" s="17">
        <v>41047</v>
      </c>
      <c r="K473" s="20">
        <f>23-442.25</f>
        <v>-419.25</v>
      </c>
      <c r="L473" s="26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</row>
    <row r="474" spans="1:52" s="37" customFormat="1">
      <c r="A474" s="22">
        <v>41045</v>
      </c>
      <c r="B474" s="15">
        <v>-408.76</v>
      </c>
      <c r="C474" s="15"/>
      <c r="D474" s="17">
        <v>40966</v>
      </c>
      <c r="E474" s="12">
        <v>-340.86</v>
      </c>
      <c r="F474" s="12"/>
      <c r="G474" s="17">
        <v>40982</v>
      </c>
      <c r="H474" s="12">
        <v>-447.73</v>
      </c>
      <c r="I474" s="12"/>
      <c r="J474" s="17">
        <v>41048</v>
      </c>
      <c r="K474" s="20">
        <f>23-443.36</f>
        <v>-420.36</v>
      </c>
      <c r="L474" s="26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</row>
    <row r="475" spans="1:52" s="37" customFormat="1">
      <c r="A475" s="22">
        <v>41047</v>
      </c>
      <c r="B475" s="15">
        <v>-408.54</v>
      </c>
      <c r="C475" s="15"/>
      <c r="D475" s="17">
        <v>40967</v>
      </c>
      <c r="E475" s="12">
        <v>-342.15</v>
      </c>
      <c r="F475" s="12"/>
      <c r="G475" s="17">
        <v>40983</v>
      </c>
      <c r="H475" s="12">
        <v>-444.75</v>
      </c>
      <c r="I475" s="12"/>
      <c r="J475" s="17">
        <v>41049</v>
      </c>
      <c r="K475" s="20">
        <f>23-443.45</f>
        <v>-420.45</v>
      </c>
      <c r="L475" s="26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</row>
    <row r="476" spans="1:52" s="37" customFormat="1">
      <c r="A476" s="22">
        <v>41050</v>
      </c>
      <c r="B476" s="15">
        <v>-411.44</v>
      </c>
      <c r="C476" s="15"/>
      <c r="D476" s="17">
        <v>40968</v>
      </c>
      <c r="E476" s="12">
        <v>-343.22</v>
      </c>
      <c r="F476" s="12"/>
      <c r="G476" s="17">
        <v>40984</v>
      </c>
      <c r="H476" s="12">
        <v>-446.3</v>
      </c>
      <c r="I476" s="12"/>
      <c r="J476" s="17">
        <v>41050</v>
      </c>
      <c r="K476" s="20">
        <f>23-442.92</f>
        <v>-419.92</v>
      </c>
      <c r="L476" s="26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</row>
    <row r="477" spans="1:52" s="37" customFormat="1">
      <c r="A477" s="22">
        <v>41052</v>
      </c>
      <c r="B477" s="15">
        <v>-414.31</v>
      </c>
      <c r="C477" s="15"/>
      <c r="D477" s="17">
        <v>40969</v>
      </c>
      <c r="E477" s="12">
        <v>-346.76</v>
      </c>
      <c r="F477" s="12"/>
      <c r="G477" s="17">
        <v>40985</v>
      </c>
      <c r="H477" s="12">
        <v>-445.99</v>
      </c>
      <c r="I477" s="12"/>
      <c r="J477" s="17">
        <v>41051</v>
      </c>
      <c r="K477" s="20">
        <f>23-444.25</f>
        <v>-421.25</v>
      </c>
      <c r="L477" s="26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</row>
    <row r="478" spans="1:52" s="37" customFormat="1">
      <c r="A478" s="22">
        <v>41054</v>
      </c>
      <c r="B478" s="15">
        <v>-415.68</v>
      </c>
      <c r="C478" s="15"/>
      <c r="D478" s="17">
        <v>40970</v>
      </c>
      <c r="E478" s="12">
        <v>-342.74</v>
      </c>
      <c r="F478" s="12"/>
      <c r="G478" s="17">
        <v>40986</v>
      </c>
      <c r="H478" s="12">
        <v>-445.27</v>
      </c>
      <c r="I478" s="12"/>
      <c r="J478" s="17">
        <v>41052</v>
      </c>
      <c r="K478" s="20">
        <f>23-444.89</f>
        <v>-421.89</v>
      </c>
      <c r="L478" s="26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</row>
    <row r="479" spans="1:52" s="37" customFormat="1">
      <c r="A479" s="22">
        <v>41057</v>
      </c>
      <c r="B479" s="15">
        <v>-414.01</v>
      </c>
      <c r="C479" s="15"/>
      <c r="D479" s="17">
        <v>40971</v>
      </c>
      <c r="E479" s="12">
        <v>-344.53</v>
      </c>
      <c r="F479" s="12"/>
      <c r="G479" s="17">
        <v>40987</v>
      </c>
      <c r="H479" s="12">
        <v>-445.11</v>
      </c>
      <c r="I479" s="12"/>
      <c r="J479" s="17">
        <v>41053</v>
      </c>
      <c r="K479" s="20">
        <f>23-444.51</f>
        <v>-421.51</v>
      </c>
      <c r="L479" s="26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</row>
    <row r="480" spans="1:52" s="37" customFormat="1">
      <c r="A480" s="22">
        <v>41059</v>
      </c>
      <c r="B480" s="15">
        <v>-415.25</v>
      </c>
      <c r="C480" s="15"/>
      <c r="D480" s="17">
        <v>40972</v>
      </c>
      <c r="E480" s="12">
        <v>-347.88</v>
      </c>
      <c r="F480" s="12"/>
      <c r="G480" s="17">
        <v>40988</v>
      </c>
      <c r="H480" s="12">
        <v>-445</v>
      </c>
      <c r="I480" s="12"/>
      <c r="J480" s="17">
        <v>41054</v>
      </c>
      <c r="K480" s="20">
        <f>23-448.18</f>
        <v>-425.18</v>
      </c>
      <c r="L480" s="26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</row>
    <row r="481" spans="1:52" s="37" customFormat="1">
      <c r="A481" s="22">
        <v>41061</v>
      </c>
      <c r="B481" s="15">
        <v>-413.55</v>
      </c>
      <c r="C481" s="15"/>
      <c r="D481" s="17">
        <v>40973</v>
      </c>
      <c r="E481" s="12">
        <v>-353.66</v>
      </c>
      <c r="F481" s="12"/>
      <c r="G481" s="17">
        <v>40989</v>
      </c>
      <c r="H481" s="12">
        <v>-446.78</v>
      </c>
      <c r="I481" s="12"/>
      <c r="J481" s="17">
        <v>41055</v>
      </c>
      <c r="K481" s="20">
        <f>23-451.29</f>
        <v>-428.29</v>
      </c>
      <c r="L481" s="26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</row>
    <row r="482" spans="1:52" s="37" customFormat="1">
      <c r="A482" s="22">
        <v>41064</v>
      </c>
      <c r="B482" s="15">
        <v>-415.02</v>
      </c>
      <c r="C482" s="15"/>
      <c r="D482" s="17">
        <v>40974</v>
      </c>
      <c r="E482" s="12">
        <v>-350.73</v>
      </c>
      <c r="F482" s="12"/>
      <c r="G482" s="17">
        <v>40990</v>
      </c>
      <c r="H482" s="12">
        <v>-444.44</v>
      </c>
      <c r="I482" s="12"/>
      <c r="J482" s="17">
        <v>41056</v>
      </c>
      <c r="K482" s="20">
        <f>23-453.18</f>
        <v>-430.18</v>
      </c>
      <c r="L482" s="26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</row>
    <row r="483" spans="1:52" s="37" customFormat="1">
      <c r="A483" s="22">
        <v>41066</v>
      </c>
      <c r="B483" s="15">
        <v>-413.58</v>
      </c>
      <c r="C483" s="15"/>
      <c r="D483" s="17">
        <v>40975</v>
      </c>
      <c r="E483" s="12">
        <v>-352</v>
      </c>
      <c r="F483" s="12"/>
      <c r="G483" s="17">
        <v>40991</v>
      </c>
      <c r="H483" s="12">
        <v>-443.94</v>
      </c>
      <c r="I483" s="12"/>
      <c r="J483" s="17">
        <v>41057</v>
      </c>
      <c r="K483" s="20">
        <f>23-451.96</f>
        <v>-428.96</v>
      </c>
      <c r="L483" s="26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</row>
    <row r="484" spans="1:52" s="37" customFormat="1">
      <c r="A484" s="22">
        <v>41068</v>
      </c>
      <c r="B484" s="15">
        <v>-412.98</v>
      </c>
      <c r="C484" s="15"/>
      <c r="D484" s="17">
        <v>40976</v>
      </c>
      <c r="E484" s="12">
        <v>-352.2</v>
      </c>
      <c r="F484" s="12"/>
      <c r="G484" s="17">
        <v>40992</v>
      </c>
      <c r="H484" s="12">
        <v>-444.34</v>
      </c>
      <c r="I484" s="12"/>
      <c r="J484" s="17">
        <v>41058</v>
      </c>
      <c r="K484" s="20">
        <f>23-451.88</f>
        <v>-428.88</v>
      </c>
      <c r="L484" s="26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</row>
    <row r="485" spans="1:52" s="37" customFormat="1">
      <c r="A485" s="22">
        <v>41071</v>
      </c>
      <c r="B485" s="15">
        <v>-416.72</v>
      </c>
      <c r="C485" s="15"/>
      <c r="D485" s="17">
        <v>40977</v>
      </c>
      <c r="E485" s="12">
        <v>-355.57</v>
      </c>
      <c r="F485" s="12"/>
      <c r="G485" s="17">
        <v>40993</v>
      </c>
      <c r="H485" s="12">
        <v>-445.46</v>
      </c>
      <c r="I485" s="12"/>
      <c r="J485" s="17">
        <v>41059</v>
      </c>
      <c r="K485" s="20">
        <f>23-454.36</f>
        <v>-431.36</v>
      </c>
      <c r="L485" s="26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</row>
    <row r="486" spans="1:52" s="37" customFormat="1">
      <c r="A486" s="22">
        <v>41073</v>
      </c>
      <c r="B486" s="15">
        <v>-412.33</v>
      </c>
      <c r="C486" s="15"/>
      <c r="D486" s="17">
        <v>40978</v>
      </c>
      <c r="E486" s="12">
        <v>-355.64</v>
      </c>
      <c r="F486" s="12"/>
      <c r="G486" s="17">
        <v>40994</v>
      </c>
      <c r="H486" s="12">
        <v>-447.11</v>
      </c>
      <c r="I486" s="12"/>
      <c r="J486" s="17">
        <v>41060</v>
      </c>
      <c r="K486" s="20">
        <f>23-455.68</f>
        <v>-432.68</v>
      </c>
      <c r="L486" s="26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</row>
    <row r="487" spans="1:52" s="37" customFormat="1">
      <c r="A487" s="22">
        <v>41075</v>
      </c>
      <c r="B487" s="15">
        <v>-413.8</v>
      </c>
      <c r="C487" s="15"/>
      <c r="D487" s="17">
        <v>40979</v>
      </c>
      <c r="E487" s="12">
        <v>-357.57</v>
      </c>
      <c r="F487" s="12"/>
      <c r="G487" s="17">
        <v>40995</v>
      </c>
      <c r="H487" s="12">
        <v>-448.59</v>
      </c>
      <c r="I487" s="12"/>
      <c r="J487" s="17">
        <v>41061</v>
      </c>
      <c r="K487" s="20">
        <f>23-455.67</f>
        <v>-432.67</v>
      </c>
      <c r="L487" s="26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</row>
    <row r="488" spans="1:52" s="37" customFormat="1">
      <c r="A488" s="22">
        <v>41078</v>
      </c>
      <c r="B488" s="15">
        <v>-411.84</v>
      </c>
      <c r="C488" s="15"/>
      <c r="D488" s="17">
        <v>40980</v>
      </c>
      <c r="E488" s="12">
        <v>-354.91</v>
      </c>
      <c r="F488" s="12"/>
      <c r="G488" s="17">
        <v>40996</v>
      </c>
      <c r="H488" s="12">
        <v>-446.04</v>
      </c>
      <c r="I488" s="12"/>
      <c r="J488" s="17">
        <v>41062</v>
      </c>
      <c r="K488" s="20">
        <f>23-455.66</f>
        <v>-432.66</v>
      </c>
      <c r="L488" s="26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</row>
    <row r="489" spans="1:52" s="37" customFormat="1">
      <c r="A489" s="22">
        <v>41080</v>
      </c>
      <c r="B489" s="15">
        <v>-414.53</v>
      </c>
      <c r="C489" s="15"/>
      <c r="D489" s="17">
        <v>40981</v>
      </c>
      <c r="E489" s="12">
        <v>-356.12</v>
      </c>
      <c r="F489" s="12"/>
      <c r="G489" s="17">
        <v>40997</v>
      </c>
      <c r="H489" s="12">
        <v>-447.4</v>
      </c>
      <c r="I489" s="12"/>
      <c r="J489" s="17">
        <v>41063</v>
      </c>
      <c r="K489" s="20">
        <f>23-456.87</f>
        <v>-433.87</v>
      </c>
      <c r="L489" s="26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</row>
    <row r="490" spans="1:52" s="37" customFormat="1">
      <c r="A490" s="22">
        <v>41082</v>
      </c>
      <c r="B490" s="15">
        <v>-411.78</v>
      </c>
      <c r="C490" s="15"/>
      <c r="D490" s="17">
        <v>40982</v>
      </c>
      <c r="E490" s="12">
        <v>-356.28</v>
      </c>
      <c r="F490" s="12"/>
      <c r="G490" s="17">
        <v>40999</v>
      </c>
      <c r="H490" s="12">
        <v>-446</v>
      </c>
      <c r="I490" s="12"/>
      <c r="J490" s="17">
        <v>41064</v>
      </c>
      <c r="K490" s="20">
        <f>23-461.38</f>
        <v>-438.38</v>
      </c>
      <c r="L490" s="26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</row>
    <row r="491" spans="1:52" s="37" customFormat="1">
      <c r="A491" s="22">
        <v>41085</v>
      </c>
      <c r="B491" s="15">
        <v>-414.72</v>
      </c>
      <c r="C491" s="15"/>
      <c r="D491" s="17">
        <v>40983</v>
      </c>
      <c r="E491" s="12">
        <v>-358.64</v>
      </c>
      <c r="F491" s="12"/>
      <c r="G491" s="17">
        <v>41000</v>
      </c>
      <c r="H491" s="12">
        <v>-448.76</v>
      </c>
      <c r="I491" s="12"/>
      <c r="J491" s="17">
        <v>41065</v>
      </c>
      <c r="K491" s="20">
        <f>23-461.57</f>
        <v>-438.57</v>
      </c>
      <c r="L491" s="26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</row>
    <row r="492" spans="1:52" s="37" customFormat="1">
      <c r="A492" s="22">
        <v>41087</v>
      </c>
      <c r="B492" s="15">
        <v>-417.52</v>
      </c>
      <c r="C492" s="15"/>
      <c r="D492" s="17">
        <v>40984</v>
      </c>
      <c r="E492" s="12">
        <v>-359.29</v>
      </c>
      <c r="F492" s="12"/>
      <c r="G492" s="17">
        <v>41001</v>
      </c>
      <c r="H492" s="12">
        <v>-450.35</v>
      </c>
      <c r="I492" s="12"/>
      <c r="J492" s="17">
        <v>41066</v>
      </c>
      <c r="K492" s="20">
        <f>23-463.97</f>
        <v>-440.97</v>
      </c>
      <c r="L492" s="26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</row>
    <row r="493" spans="1:52" s="37" customFormat="1">
      <c r="A493" s="22">
        <v>41089</v>
      </c>
      <c r="B493" s="15">
        <v>-415.89</v>
      </c>
      <c r="C493" s="15"/>
      <c r="D493" s="17">
        <v>40985</v>
      </c>
      <c r="E493" s="12">
        <v>-358.54</v>
      </c>
      <c r="F493" s="12"/>
      <c r="G493" s="17">
        <v>41002</v>
      </c>
      <c r="H493" s="12">
        <v>-445.98</v>
      </c>
      <c r="I493" s="12"/>
      <c r="J493" s="17">
        <v>41067</v>
      </c>
      <c r="K493" s="20">
        <f>23-461.43</f>
        <v>-438.43</v>
      </c>
      <c r="L493" s="26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</row>
    <row r="494" spans="1:52" s="37" customFormat="1">
      <c r="A494" s="22">
        <v>41092</v>
      </c>
      <c r="B494" s="15">
        <v>-416.34</v>
      </c>
      <c r="C494" s="15"/>
      <c r="D494" s="17">
        <v>40986</v>
      </c>
      <c r="E494" s="12">
        <v>-359.03</v>
      </c>
      <c r="F494" s="12"/>
      <c r="G494" s="17">
        <v>41004</v>
      </c>
      <c r="H494" s="12">
        <v>-443.06</v>
      </c>
      <c r="I494" s="12"/>
      <c r="J494" s="17">
        <v>41068</v>
      </c>
      <c r="K494" s="20">
        <f>23-462.26</f>
        <v>-439.26</v>
      </c>
      <c r="L494" s="26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</row>
    <row r="495" spans="1:52" s="37" customFormat="1">
      <c r="A495" s="22">
        <v>41094</v>
      </c>
      <c r="B495" s="15">
        <v>-416.45</v>
      </c>
      <c r="C495" s="15"/>
      <c r="D495" s="17">
        <v>40987</v>
      </c>
      <c r="E495" s="12">
        <v>-360.8</v>
      </c>
      <c r="F495" s="12"/>
      <c r="G495" s="17">
        <v>41008</v>
      </c>
      <c r="H495" s="12">
        <v>-448.33</v>
      </c>
      <c r="I495" s="12"/>
      <c r="J495" s="17">
        <v>41069</v>
      </c>
      <c r="K495" s="20">
        <f>23-464.24</f>
        <v>-441.24</v>
      </c>
      <c r="L495" s="26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</row>
    <row r="496" spans="1:52" s="37" customFormat="1">
      <c r="A496" s="22">
        <v>41097</v>
      </c>
      <c r="B496" s="15">
        <v>-419.49</v>
      </c>
      <c r="C496" s="15"/>
      <c r="D496" s="17">
        <v>40988</v>
      </c>
      <c r="E496" s="12">
        <v>-360.07</v>
      </c>
      <c r="F496" s="12"/>
      <c r="G496" s="17">
        <v>41011</v>
      </c>
      <c r="H496" s="12">
        <v>-452.46</v>
      </c>
      <c r="I496" s="12"/>
      <c r="J496" s="17">
        <v>41070</v>
      </c>
      <c r="K496" s="20">
        <f>23-463.9</f>
        <v>-440.9</v>
      </c>
      <c r="L496" s="26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</row>
    <row r="497" spans="1:52" s="37" customFormat="1">
      <c r="A497" s="22">
        <v>41099</v>
      </c>
      <c r="B497" s="15">
        <v>-420.86</v>
      </c>
      <c r="C497" s="15"/>
      <c r="D497" s="17">
        <v>40989</v>
      </c>
      <c r="E497" s="12">
        <v>-361.21</v>
      </c>
      <c r="F497" s="12"/>
      <c r="G497" s="17">
        <v>41015</v>
      </c>
      <c r="H497" s="12">
        <v>-449.92</v>
      </c>
      <c r="I497" s="12"/>
      <c r="J497" s="17">
        <v>41071</v>
      </c>
      <c r="K497" s="20">
        <f>23-468.44</f>
        <v>-445.44</v>
      </c>
      <c r="L497" s="26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</row>
    <row r="498" spans="1:52" s="37" customFormat="1">
      <c r="A498" s="22">
        <v>41101</v>
      </c>
      <c r="B498" s="15">
        <v>-420.18</v>
      </c>
      <c r="C498" s="15"/>
      <c r="D498" s="17">
        <v>40990</v>
      </c>
      <c r="E498" s="12">
        <v>-358.47</v>
      </c>
      <c r="F498" s="12"/>
      <c r="G498" s="17">
        <v>41018</v>
      </c>
      <c r="H498" s="12">
        <v>-455.45</v>
      </c>
      <c r="I498" s="12"/>
      <c r="J498" s="17">
        <v>41072</v>
      </c>
      <c r="K498" s="20">
        <f>23-468.36</f>
        <v>-445.36</v>
      </c>
      <c r="L498" s="26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</row>
    <row r="499" spans="1:52" s="37" customFormat="1">
      <c r="A499" s="22">
        <v>41103</v>
      </c>
      <c r="B499" s="15">
        <v>-418.31</v>
      </c>
      <c r="C499" s="15"/>
      <c r="D499" s="17">
        <v>40991</v>
      </c>
      <c r="E499" s="12">
        <v>-358.21</v>
      </c>
      <c r="F499" s="12"/>
      <c r="G499" s="17">
        <v>41022</v>
      </c>
      <c r="H499" s="12">
        <v>-459.37</v>
      </c>
      <c r="I499" s="12"/>
      <c r="J499" s="17">
        <v>41073</v>
      </c>
      <c r="K499" s="20">
        <f>23-466.98</f>
        <v>-443.98</v>
      </c>
      <c r="L499" s="26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</row>
    <row r="500" spans="1:52" s="37" customFormat="1">
      <c r="A500" s="22">
        <v>41106</v>
      </c>
      <c r="B500" s="15">
        <v>-416.56</v>
      </c>
      <c r="C500" s="15"/>
      <c r="D500" s="17">
        <v>40992</v>
      </c>
      <c r="E500" s="12">
        <v>-356.85</v>
      </c>
      <c r="F500" s="12"/>
      <c r="G500" s="17">
        <v>41025</v>
      </c>
      <c r="H500" s="12">
        <v>-476.18</v>
      </c>
      <c r="I500" s="12"/>
      <c r="J500" s="17">
        <v>41074</v>
      </c>
      <c r="K500" s="20">
        <f>23-465.94</f>
        <v>-442.94</v>
      </c>
      <c r="L500" s="26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</row>
    <row r="501" spans="1:52" s="37" customFormat="1">
      <c r="A501" s="22">
        <v>41108</v>
      </c>
      <c r="B501" s="15">
        <v>-417.01</v>
      </c>
      <c r="C501" s="15"/>
      <c r="D501" s="17">
        <v>40993</v>
      </c>
      <c r="E501" s="12">
        <v>-354.18</v>
      </c>
      <c r="F501" s="12"/>
      <c r="G501" s="17">
        <v>41029</v>
      </c>
      <c r="H501" s="12">
        <v>-488.65</v>
      </c>
      <c r="I501" s="12"/>
      <c r="J501" s="17">
        <v>41075</v>
      </c>
      <c r="K501" s="20">
        <f>23-464.01</f>
        <v>-441.01</v>
      </c>
      <c r="L501" s="26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</row>
    <row r="502" spans="1:52" s="37" customFormat="1">
      <c r="A502" s="22">
        <v>41110</v>
      </c>
      <c r="B502" s="15">
        <v>-417.72</v>
      </c>
      <c r="C502" s="15"/>
      <c r="D502" s="17">
        <v>40994</v>
      </c>
      <c r="E502" s="12">
        <v>-358.41</v>
      </c>
      <c r="F502" s="12"/>
      <c r="G502" s="17">
        <v>41031</v>
      </c>
      <c r="H502" s="12">
        <v>-486.86</v>
      </c>
      <c r="I502" s="12"/>
      <c r="J502" s="17">
        <v>41076</v>
      </c>
      <c r="K502" s="20">
        <f>23-465.65</f>
        <v>-442.65</v>
      </c>
      <c r="L502" s="26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</row>
    <row r="503" spans="1:52" s="37" customFormat="1">
      <c r="A503" s="22">
        <v>41113</v>
      </c>
      <c r="B503" s="15">
        <v>-415.63</v>
      </c>
      <c r="C503" s="15"/>
      <c r="D503" s="17">
        <v>40995</v>
      </c>
      <c r="E503" s="12">
        <v>-358.82</v>
      </c>
      <c r="F503" s="12"/>
      <c r="G503" s="17">
        <v>41032</v>
      </c>
      <c r="H503" s="12">
        <v>-482.96</v>
      </c>
      <c r="I503" s="12"/>
      <c r="J503" s="17">
        <v>41077</v>
      </c>
      <c r="K503" s="20">
        <f>23-469.35</f>
        <v>-446.35</v>
      </c>
      <c r="L503" s="26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</row>
    <row r="504" spans="1:52" s="37" customFormat="1">
      <c r="A504" s="22">
        <v>41115</v>
      </c>
      <c r="B504" s="15">
        <v>-414.2</v>
      </c>
      <c r="C504" s="15"/>
      <c r="D504" s="17">
        <v>40996</v>
      </c>
      <c r="E504" s="12">
        <v>-355.26</v>
      </c>
      <c r="F504" s="12"/>
      <c r="G504" s="17">
        <v>41033</v>
      </c>
      <c r="H504" s="12">
        <v>-488.01</v>
      </c>
      <c r="I504" s="12"/>
      <c r="J504" s="17">
        <v>41078</v>
      </c>
      <c r="K504" s="20">
        <f>23-466.41</f>
        <v>-443.41</v>
      </c>
      <c r="L504" s="26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</row>
    <row r="505" spans="1:52" s="37" customFormat="1">
      <c r="A505" s="22">
        <v>41117</v>
      </c>
      <c r="B505" s="15">
        <v>-415.82</v>
      </c>
      <c r="C505" s="15"/>
      <c r="D505" s="17">
        <v>40997</v>
      </c>
      <c r="E505" s="12">
        <v>-354.96</v>
      </c>
      <c r="F505" s="12"/>
      <c r="G505" s="17">
        <v>41034</v>
      </c>
      <c r="H505" s="12">
        <v>-486.74</v>
      </c>
      <c r="I505" s="12"/>
      <c r="J505" s="17">
        <v>41079</v>
      </c>
      <c r="K505" s="20">
        <f>23-471.06</f>
        <v>-448.06</v>
      </c>
      <c r="L505" s="26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</row>
    <row r="506" spans="1:52" s="37" customFormat="1">
      <c r="A506" s="22">
        <v>41120</v>
      </c>
      <c r="B506" s="15">
        <v>-412.96</v>
      </c>
      <c r="C506" s="15"/>
      <c r="D506" s="17">
        <v>40999</v>
      </c>
      <c r="E506" s="12">
        <v>-355.5</v>
      </c>
      <c r="F506" s="12"/>
      <c r="G506" s="17">
        <v>41035</v>
      </c>
      <c r="H506" s="12">
        <v>-487.34</v>
      </c>
      <c r="I506" s="12"/>
      <c r="J506" s="17">
        <v>41080</v>
      </c>
      <c r="K506" s="20">
        <f>23-473.18</f>
        <v>-450.18</v>
      </c>
      <c r="L506" s="26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</row>
    <row r="507" spans="1:52" s="37" customFormat="1">
      <c r="A507" s="22">
        <v>41122</v>
      </c>
      <c r="B507" s="15">
        <v>-415.23</v>
      </c>
      <c r="C507" s="15"/>
      <c r="D507" s="17">
        <v>41000</v>
      </c>
      <c r="E507" s="12">
        <v>-354.36</v>
      </c>
      <c r="F507" s="12"/>
      <c r="G507" s="17">
        <v>41036</v>
      </c>
      <c r="H507" s="12">
        <v>-486.49</v>
      </c>
      <c r="I507" s="12"/>
      <c r="J507" s="17">
        <v>41081</v>
      </c>
      <c r="K507" s="20">
        <f>23-475.13</f>
        <v>-452.13</v>
      </c>
      <c r="L507" s="26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</row>
    <row r="508" spans="1:52" s="37" customFormat="1">
      <c r="A508" s="22">
        <v>41124</v>
      </c>
      <c r="B508" s="15">
        <v>-416.8</v>
      </c>
      <c r="C508" s="15"/>
      <c r="D508" s="17">
        <v>41001</v>
      </c>
      <c r="E508" s="12">
        <v>-356.14</v>
      </c>
      <c r="F508" s="12"/>
      <c r="G508" s="17">
        <v>41037</v>
      </c>
      <c r="H508" s="12">
        <v>-486.87</v>
      </c>
      <c r="I508" s="12"/>
      <c r="J508" s="17">
        <v>41082</v>
      </c>
      <c r="K508" s="20">
        <f>23-481.59</f>
        <v>-458.59</v>
      </c>
      <c r="L508" s="26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</row>
    <row r="509" spans="1:52" s="37" customFormat="1">
      <c r="A509" s="22">
        <v>41127</v>
      </c>
      <c r="B509" s="15">
        <v>-418.07</v>
      </c>
      <c r="C509" s="15"/>
      <c r="D509" s="17">
        <v>41002</v>
      </c>
      <c r="E509" s="12">
        <v>-361.92</v>
      </c>
      <c r="F509" s="12"/>
      <c r="G509" s="17">
        <v>41038</v>
      </c>
      <c r="H509" s="12">
        <v>-487.46</v>
      </c>
      <c r="I509" s="12"/>
      <c r="J509" s="17">
        <v>41083</v>
      </c>
      <c r="K509" s="20">
        <f>23-476.82</f>
        <v>-453.82</v>
      </c>
      <c r="L509" s="26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</row>
    <row r="510" spans="1:52" s="37" customFormat="1">
      <c r="A510" s="22">
        <v>41129</v>
      </c>
      <c r="B510" s="15">
        <v>-419.48</v>
      </c>
      <c r="C510" s="15"/>
      <c r="D510" s="17">
        <v>41004</v>
      </c>
      <c r="E510" s="12">
        <v>-362.93</v>
      </c>
      <c r="F510" s="12"/>
      <c r="G510" s="17">
        <v>41039</v>
      </c>
      <c r="H510" s="12">
        <v>-481.59</v>
      </c>
      <c r="I510" s="12"/>
      <c r="J510" s="17">
        <v>41084</v>
      </c>
      <c r="K510" s="20">
        <f>23-478.08</f>
        <v>-455.08</v>
      </c>
      <c r="L510" s="26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</row>
    <row r="511" spans="1:52" s="37" customFormat="1">
      <c r="A511" s="22">
        <v>41131</v>
      </c>
      <c r="B511" s="15">
        <v>-420.22</v>
      </c>
      <c r="C511" s="15"/>
      <c r="D511" s="17">
        <v>41008</v>
      </c>
      <c r="E511" s="12">
        <v>-366.31</v>
      </c>
      <c r="F511" s="12"/>
      <c r="G511" s="17">
        <v>41040</v>
      </c>
      <c r="H511" s="12">
        <v>-482.03</v>
      </c>
      <c r="I511" s="12"/>
      <c r="J511" s="17">
        <v>41085</v>
      </c>
      <c r="K511" s="20">
        <f>23-478.58</f>
        <v>-455.58</v>
      </c>
      <c r="L511" s="26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</row>
    <row r="512" spans="1:52" s="37" customFormat="1">
      <c r="A512" s="22">
        <v>41134</v>
      </c>
      <c r="B512" s="15">
        <v>-419.3</v>
      </c>
      <c r="C512" s="15"/>
      <c r="D512" s="17">
        <v>41011</v>
      </c>
      <c r="E512" s="12">
        <v>-371.83</v>
      </c>
      <c r="F512" s="12"/>
      <c r="G512" s="17">
        <v>41041</v>
      </c>
      <c r="H512" s="12">
        <v>-482.96</v>
      </c>
      <c r="I512" s="12"/>
      <c r="J512" s="17">
        <v>41086</v>
      </c>
      <c r="K512" s="20">
        <f>23-478.37</f>
        <v>-455.37</v>
      </c>
      <c r="L512" s="26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</row>
    <row r="513" spans="1:52" s="37" customFormat="1">
      <c r="A513" s="22">
        <v>41136</v>
      </c>
      <c r="B513" s="15">
        <v>-421.03</v>
      </c>
      <c r="C513" s="15"/>
      <c r="D513" s="17">
        <v>41015</v>
      </c>
      <c r="E513" s="12">
        <v>-376.37</v>
      </c>
      <c r="F513" s="12"/>
      <c r="G513" s="17">
        <v>41042</v>
      </c>
      <c r="H513" s="12">
        <v>-481.39</v>
      </c>
      <c r="I513" s="12"/>
      <c r="J513" s="17">
        <v>41087</v>
      </c>
      <c r="K513" s="20">
        <f>23-482.36</f>
        <v>-459.36</v>
      </c>
      <c r="L513" s="26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</row>
    <row r="514" spans="1:52" s="37" customFormat="1">
      <c r="A514" s="22">
        <v>41138</v>
      </c>
      <c r="B514" s="15">
        <v>-420.74</v>
      </c>
      <c r="C514" s="15"/>
      <c r="D514" s="17">
        <v>41018</v>
      </c>
      <c r="E514" s="12">
        <v>-377.98</v>
      </c>
      <c r="F514" s="12"/>
      <c r="G514" s="17">
        <v>41043</v>
      </c>
      <c r="H514" s="12">
        <v>-479.37</v>
      </c>
      <c r="I514" s="12"/>
      <c r="J514" s="17">
        <v>41088</v>
      </c>
      <c r="K514" s="20">
        <f>23-483.52</f>
        <v>-460.52</v>
      </c>
      <c r="L514" s="26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</row>
    <row r="515" spans="1:52" s="37" customFormat="1">
      <c r="A515" s="22">
        <v>41141</v>
      </c>
      <c r="B515" s="15">
        <v>-419.56</v>
      </c>
      <c r="C515" s="15"/>
      <c r="D515" s="17">
        <v>41022</v>
      </c>
      <c r="E515" s="12">
        <v>-379.15</v>
      </c>
      <c r="F515" s="12"/>
      <c r="G515" s="17">
        <v>41044</v>
      </c>
      <c r="H515" s="12">
        <v>-477.95</v>
      </c>
      <c r="I515" s="12"/>
      <c r="J515" s="17">
        <v>41089</v>
      </c>
      <c r="K515" s="20">
        <f>23-482.19</f>
        <v>-459.19</v>
      </c>
      <c r="L515" s="26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</row>
    <row r="516" spans="1:52" s="37" customFormat="1">
      <c r="A516" s="22">
        <v>41143</v>
      </c>
      <c r="B516" s="15">
        <v>-419.22</v>
      </c>
      <c r="C516" s="15"/>
      <c r="D516" s="17">
        <v>41025</v>
      </c>
      <c r="E516" s="12">
        <v>-385.63</v>
      </c>
      <c r="F516" s="12"/>
      <c r="G516" s="17">
        <v>41045</v>
      </c>
      <c r="H516" s="12">
        <v>-477.98</v>
      </c>
      <c r="I516" s="12"/>
      <c r="J516" s="17">
        <v>41090</v>
      </c>
      <c r="K516" s="20">
        <f>23-484.24</f>
        <v>-461.24</v>
      </c>
      <c r="L516" s="26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</row>
    <row r="517" spans="1:52" s="37" customFormat="1">
      <c r="A517" s="22">
        <v>41145</v>
      </c>
      <c r="B517" s="15">
        <v>-418.64</v>
      </c>
      <c r="C517" s="15"/>
      <c r="D517" s="17">
        <v>41029</v>
      </c>
      <c r="E517" s="12">
        <v>-393.24</v>
      </c>
      <c r="F517" s="12"/>
      <c r="G517" s="17">
        <v>41046</v>
      </c>
      <c r="H517" s="12">
        <v>-478.57</v>
      </c>
      <c r="I517" s="12"/>
      <c r="J517" s="17">
        <v>41091</v>
      </c>
      <c r="K517" s="20">
        <f>23-485.53</f>
        <v>-462.53</v>
      </c>
      <c r="L517" s="26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</row>
    <row r="518" spans="1:52" s="37" customFormat="1">
      <c r="A518" s="22">
        <v>41148</v>
      </c>
      <c r="B518" s="15">
        <v>-418.16</v>
      </c>
      <c r="C518" s="15"/>
      <c r="D518" s="17">
        <v>41031</v>
      </c>
      <c r="E518" s="12">
        <v>-402.42</v>
      </c>
      <c r="F518" s="12"/>
      <c r="G518" s="17">
        <v>41047</v>
      </c>
      <c r="H518" s="12">
        <v>-478.26</v>
      </c>
      <c r="I518" s="12"/>
      <c r="J518" s="17">
        <v>41092</v>
      </c>
      <c r="K518" s="20">
        <f>23-483.65</f>
        <v>-460.65</v>
      </c>
      <c r="L518" s="26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</row>
    <row r="519" spans="1:52" s="37" customFormat="1">
      <c r="A519" s="22">
        <v>41150</v>
      </c>
      <c r="B519" s="15">
        <v>-418.44</v>
      </c>
      <c r="C519" s="15"/>
      <c r="D519" s="17">
        <v>41032</v>
      </c>
      <c r="E519" s="12">
        <v>-390.49</v>
      </c>
      <c r="F519" s="12"/>
      <c r="G519" s="17">
        <v>41048</v>
      </c>
      <c r="H519" s="12">
        <v>-479.49</v>
      </c>
      <c r="I519" s="12"/>
      <c r="J519" s="17">
        <v>41093</v>
      </c>
      <c r="K519" s="20">
        <f>23-488.71</f>
        <v>-465.71</v>
      </c>
      <c r="L519" s="26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</row>
    <row r="520" spans="1:52" s="37" customFormat="1">
      <c r="A520" s="22">
        <v>41152</v>
      </c>
      <c r="B520" s="15">
        <v>-419.41</v>
      </c>
      <c r="C520" s="15"/>
      <c r="D520" s="17">
        <v>41033</v>
      </c>
      <c r="E520" s="12">
        <v>-394.4</v>
      </c>
      <c r="F520" s="12"/>
      <c r="G520" s="17">
        <v>41049</v>
      </c>
      <c r="H520" s="12">
        <v>-479.42</v>
      </c>
      <c r="I520" s="12"/>
      <c r="J520" s="17">
        <v>41094</v>
      </c>
      <c r="K520" s="20">
        <f>23-488.9</f>
        <v>-465.9</v>
      </c>
      <c r="L520" s="26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</row>
    <row r="521" spans="1:52" s="37" customFormat="1">
      <c r="A521" s="22">
        <v>41155</v>
      </c>
      <c r="B521" s="15">
        <v>-421.94</v>
      </c>
      <c r="C521" s="15"/>
      <c r="D521" s="17">
        <v>41034</v>
      </c>
      <c r="E521" s="12">
        <v>-399.39</v>
      </c>
      <c r="F521" s="12"/>
      <c r="G521" s="17">
        <v>41050</v>
      </c>
      <c r="H521" s="16">
        <v>-479</v>
      </c>
      <c r="I521" s="16"/>
      <c r="J521" s="17">
        <v>41095</v>
      </c>
      <c r="K521" s="20">
        <f>23-496.37</f>
        <v>-473.37</v>
      </c>
      <c r="L521" s="26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</row>
    <row r="522" spans="1:52" s="37" customFormat="1">
      <c r="A522" s="22">
        <v>41157</v>
      </c>
      <c r="B522" s="15">
        <v>-417.16</v>
      </c>
      <c r="C522" s="15"/>
      <c r="D522" s="17">
        <v>41035</v>
      </c>
      <c r="E522" s="12">
        <v>-400.93</v>
      </c>
      <c r="F522" s="12"/>
      <c r="G522" s="17">
        <v>41051</v>
      </c>
      <c r="H522" s="12">
        <v>-477.37</v>
      </c>
      <c r="I522" s="12"/>
      <c r="J522" s="17">
        <v>41096</v>
      </c>
      <c r="K522" s="20">
        <f>23-498.08</f>
        <v>-475.08</v>
      </c>
      <c r="L522" s="26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</row>
    <row r="523" spans="1:52" s="37" customFormat="1">
      <c r="A523" s="22">
        <v>41159</v>
      </c>
      <c r="B523" s="15">
        <v>-416.52</v>
      </c>
      <c r="C523" s="15"/>
      <c r="D523" s="17">
        <v>41036</v>
      </c>
      <c r="E523" s="12">
        <v>-399.75</v>
      </c>
      <c r="F523" s="12"/>
      <c r="G523" s="17">
        <v>41052</v>
      </c>
      <c r="H523" s="12">
        <v>-475.01</v>
      </c>
      <c r="I523" s="12"/>
      <c r="J523" s="17">
        <v>41097</v>
      </c>
      <c r="K523" s="20">
        <f>23-497.89</f>
        <v>-474.89</v>
      </c>
      <c r="L523" s="26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</row>
    <row r="524" spans="1:52" s="37" customFormat="1">
      <c r="A524" s="22">
        <v>41162</v>
      </c>
      <c r="B524" s="15">
        <v>-415.24</v>
      </c>
      <c r="C524" s="15"/>
      <c r="D524" s="17">
        <v>41037</v>
      </c>
      <c r="E524" s="12">
        <v>-401.76</v>
      </c>
      <c r="F524" s="12"/>
      <c r="G524" s="17">
        <v>41053</v>
      </c>
      <c r="H524" s="12">
        <v>-478.75</v>
      </c>
      <c r="I524" s="12"/>
      <c r="J524" s="17">
        <v>41098</v>
      </c>
      <c r="K524" s="20">
        <f>23-497.11</f>
        <v>-474.11</v>
      </c>
      <c r="L524" s="26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</row>
    <row r="525" spans="1:52" s="37" customFormat="1">
      <c r="A525" s="22">
        <v>41164</v>
      </c>
      <c r="B525" s="15">
        <v>-416.5</v>
      </c>
      <c r="C525" s="15"/>
      <c r="D525" s="17">
        <v>41038</v>
      </c>
      <c r="E525" s="12">
        <v>-400.58</v>
      </c>
      <c r="F525" s="12"/>
      <c r="G525" s="17">
        <v>41054</v>
      </c>
      <c r="H525" s="12">
        <v>-477.04</v>
      </c>
      <c r="I525" s="12"/>
      <c r="J525" s="17">
        <v>41099</v>
      </c>
      <c r="K525" s="20">
        <f>23-498.61</f>
        <v>-475.61</v>
      </c>
      <c r="L525" s="26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</row>
    <row r="526" spans="1:52" s="37" customFormat="1">
      <c r="A526" s="22">
        <v>41166</v>
      </c>
      <c r="B526" s="15">
        <v>-415.55</v>
      </c>
      <c r="C526" s="15"/>
      <c r="D526" s="17">
        <v>41039</v>
      </c>
      <c r="E526" s="12">
        <v>-398.36</v>
      </c>
      <c r="F526" s="12"/>
      <c r="G526" s="17">
        <v>41055</v>
      </c>
      <c r="H526" s="12">
        <v>-479.88</v>
      </c>
      <c r="I526" s="12"/>
      <c r="J526" s="17">
        <v>41100</v>
      </c>
      <c r="K526" s="20">
        <f>23-500.19</f>
        <v>-477.19</v>
      </c>
      <c r="L526" s="26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</row>
    <row r="527" spans="1:52" s="37" customFormat="1">
      <c r="A527" s="22">
        <v>41169</v>
      </c>
      <c r="B527" s="15">
        <v>-412.62</v>
      </c>
      <c r="C527" s="15"/>
      <c r="D527" s="17">
        <v>41040</v>
      </c>
      <c r="E527" s="12">
        <v>-399.86</v>
      </c>
      <c r="F527" s="12"/>
      <c r="G527" s="17">
        <v>41056</v>
      </c>
      <c r="H527" s="12">
        <v>-479.93</v>
      </c>
      <c r="I527" s="12"/>
      <c r="J527" s="17">
        <v>41101</v>
      </c>
      <c r="K527" s="20">
        <f>23-501.1</f>
        <v>-478.1</v>
      </c>
      <c r="L527" s="26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</row>
    <row r="528" spans="1:52" s="37" customFormat="1">
      <c r="A528" s="22">
        <v>41171</v>
      </c>
      <c r="B528" s="15">
        <v>-412.12</v>
      </c>
      <c r="C528" s="15"/>
      <c r="D528" s="17">
        <v>41041</v>
      </c>
      <c r="E528" s="12">
        <v>-402.03</v>
      </c>
      <c r="F528" s="12"/>
      <c r="G528" s="17">
        <v>41057</v>
      </c>
      <c r="H528" s="12">
        <v>-479.25</v>
      </c>
      <c r="I528" s="12"/>
      <c r="J528" s="17">
        <v>41102</v>
      </c>
      <c r="K528" s="20">
        <f>23-499.79</f>
        <v>-476.79</v>
      </c>
      <c r="L528" s="26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</row>
    <row r="529" spans="1:52" s="37" customFormat="1">
      <c r="A529" s="22">
        <v>41173</v>
      </c>
      <c r="B529" s="15">
        <v>-412.93</v>
      </c>
      <c r="C529" s="15"/>
      <c r="D529" s="17">
        <v>41042</v>
      </c>
      <c r="E529" s="12">
        <v>-404.55</v>
      </c>
      <c r="F529" s="12"/>
      <c r="G529" s="17">
        <v>41058</v>
      </c>
      <c r="H529" s="12">
        <v>-478.68</v>
      </c>
      <c r="I529" s="12"/>
      <c r="J529" s="17">
        <v>41103</v>
      </c>
      <c r="K529" s="20">
        <f>23-498.93</f>
        <v>-475.93</v>
      </c>
      <c r="L529" s="26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</row>
    <row r="530" spans="1:52" s="37" customFormat="1">
      <c r="A530" s="22">
        <v>41176</v>
      </c>
      <c r="B530" s="15">
        <v>-411.52</v>
      </c>
      <c r="C530" s="15"/>
      <c r="D530" s="17">
        <v>41043</v>
      </c>
      <c r="E530" s="12">
        <v>-402.86</v>
      </c>
      <c r="F530" s="12"/>
      <c r="G530" s="17">
        <v>41059</v>
      </c>
      <c r="H530" s="12">
        <v>-477.36</v>
      </c>
      <c r="I530" s="12"/>
      <c r="J530" s="17">
        <v>41104</v>
      </c>
      <c r="K530" s="20">
        <f>23-501.25</f>
        <v>-478.25</v>
      </c>
      <c r="L530" s="26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</row>
    <row r="531" spans="1:52" s="37" customFormat="1">
      <c r="A531" s="22">
        <v>41178</v>
      </c>
      <c r="B531" s="15">
        <v>-413.18</v>
      </c>
      <c r="C531" s="15"/>
      <c r="D531" s="17">
        <v>41044</v>
      </c>
      <c r="E531" s="12">
        <v>-407.95</v>
      </c>
      <c r="F531" s="12"/>
      <c r="G531" s="17">
        <v>41060</v>
      </c>
      <c r="H531" s="12">
        <v>-477</v>
      </c>
      <c r="I531" s="12"/>
      <c r="J531" s="17">
        <v>41105</v>
      </c>
      <c r="K531" s="20">
        <f>23-499.73</f>
        <v>-476.73</v>
      </c>
      <c r="L531" s="26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</row>
    <row r="532" spans="1:52" s="37" customFormat="1">
      <c r="A532" s="22">
        <v>41180</v>
      </c>
      <c r="B532" s="15">
        <v>-410.78</v>
      </c>
      <c r="C532" s="15"/>
      <c r="D532" s="17">
        <v>41045</v>
      </c>
      <c r="E532" s="12">
        <v>-410.58</v>
      </c>
      <c r="F532" s="12"/>
      <c r="G532" s="17">
        <v>41061</v>
      </c>
      <c r="H532" s="12">
        <v>-478.73</v>
      </c>
      <c r="I532" s="12"/>
      <c r="J532" s="17">
        <v>41106</v>
      </c>
      <c r="K532" s="20">
        <f>23-503.51</f>
        <v>-480.51</v>
      </c>
      <c r="L532" s="26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</row>
    <row r="533" spans="1:52" s="37" customFormat="1">
      <c r="A533" s="22">
        <v>41183</v>
      </c>
      <c r="B533" s="15">
        <v>-414.05</v>
      </c>
      <c r="C533" s="15"/>
      <c r="D533" s="17">
        <v>41046</v>
      </c>
      <c r="E533" s="12">
        <v>-411.73</v>
      </c>
      <c r="F533" s="12"/>
      <c r="G533" s="17">
        <v>41062</v>
      </c>
      <c r="H533" s="12">
        <v>-474.76</v>
      </c>
      <c r="I533" s="12"/>
      <c r="J533" s="17">
        <v>41107</v>
      </c>
      <c r="K533" s="20">
        <f>23-503.13</f>
        <v>-480.13</v>
      </c>
      <c r="L533" s="26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</row>
    <row r="534" spans="1:52" s="37" customFormat="1">
      <c r="A534" s="22">
        <v>41185</v>
      </c>
      <c r="B534" s="15">
        <v>-412.01</v>
      </c>
      <c r="C534" s="15"/>
      <c r="D534" s="17">
        <v>41047</v>
      </c>
      <c r="E534" s="12">
        <v>-414.05</v>
      </c>
      <c r="F534" s="12"/>
      <c r="G534" s="17">
        <v>41063</v>
      </c>
      <c r="H534" s="12">
        <v>-474.87</v>
      </c>
      <c r="I534" s="12"/>
      <c r="J534" s="17">
        <v>41108</v>
      </c>
      <c r="K534" s="20">
        <f>23-500.98</f>
        <v>-477.98</v>
      </c>
      <c r="L534" s="26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</row>
    <row r="535" spans="1:52" s="37" customFormat="1">
      <c r="A535" s="22">
        <v>41187</v>
      </c>
      <c r="B535" s="15">
        <v>-412.39</v>
      </c>
      <c r="C535" s="15"/>
      <c r="D535" s="17">
        <v>41048</v>
      </c>
      <c r="E535" s="12">
        <v>-413.91</v>
      </c>
      <c r="F535" s="12"/>
      <c r="G535" s="17">
        <v>41064</v>
      </c>
      <c r="H535" s="12">
        <v>-475.31</v>
      </c>
      <c r="I535" s="12"/>
      <c r="J535" s="17">
        <v>41109</v>
      </c>
      <c r="K535" s="20">
        <f>23-503.33</f>
        <v>-480.33</v>
      </c>
      <c r="L535" s="26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</row>
    <row r="536" spans="1:52" s="37" customFormat="1">
      <c r="A536" s="22">
        <v>41190</v>
      </c>
      <c r="B536" s="15">
        <v>-414.42</v>
      </c>
      <c r="C536" s="15"/>
      <c r="D536" s="17">
        <v>41049</v>
      </c>
      <c r="E536" s="12">
        <v>-414.95</v>
      </c>
      <c r="F536" s="12"/>
      <c r="G536" s="17">
        <v>41065</v>
      </c>
      <c r="H536" s="12">
        <v>-477.18</v>
      </c>
      <c r="I536" s="12"/>
      <c r="J536" s="17">
        <v>41110</v>
      </c>
      <c r="K536" s="20">
        <f>23-505.56</f>
        <v>-482.56</v>
      </c>
      <c r="L536" s="26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</row>
    <row r="537" spans="1:52" s="37" customFormat="1">
      <c r="A537" s="22">
        <v>41192</v>
      </c>
      <c r="B537" s="15">
        <v>-414.47</v>
      </c>
      <c r="C537" s="15"/>
      <c r="D537" s="17">
        <v>41050</v>
      </c>
      <c r="E537" s="12">
        <v>-412.66</v>
      </c>
      <c r="F537" s="12"/>
      <c r="G537" s="17">
        <v>41066</v>
      </c>
      <c r="H537" s="12">
        <v>-479.56</v>
      </c>
      <c r="I537" s="12"/>
      <c r="J537" s="17">
        <v>41111</v>
      </c>
      <c r="K537" s="20">
        <f>23-504.67</f>
        <v>-481.67</v>
      </c>
      <c r="L537" s="26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</row>
    <row r="538" spans="1:52" s="37" customFormat="1">
      <c r="A538" s="22">
        <v>41194</v>
      </c>
      <c r="B538" s="15">
        <v>-413.64</v>
      </c>
      <c r="C538" s="15"/>
      <c r="D538" s="17">
        <v>41051</v>
      </c>
      <c r="E538" s="12">
        <v>-412.79</v>
      </c>
      <c r="F538" s="12"/>
      <c r="G538" s="17">
        <v>41067</v>
      </c>
      <c r="H538" s="12">
        <v>-480.52</v>
      </c>
      <c r="I538" s="12"/>
      <c r="J538" s="17">
        <v>41112</v>
      </c>
      <c r="K538" s="20">
        <f>23-500.96</f>
        <v>-477.96</v>
      </c>
      <c r="L538" s="26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</row>
    <row r="539" spans="1:52" s="37" customFormat="1">
      <c r="A539" s="22">
        <v>41197</v>
      </c>
      <c r="B539" s="15">
        <v>-413.77</v>
      </c>
      <c r="C539" s="15"/>
      <c r="D539" s="17">
        <v>41052</v>
      </c>
      <c r="E539" s="12">
        <v>-415.04</v>
      </c>
      <c r="F539" s="12"/>
      <c r="G539" s="17">
        <v>41068</v>
      </c>
      <c r="H539" s="12">
        <v>-479.57</v>
      </c>
      <c r="I539" s="12"/>
      <c r="J539" s="17">
        <v>41113</v>
      </c>
      <c r="K539" s="20">
        <f>23-504.99</f>
        <v>-481.99</v>
      </c>
      <c r="L539" s="26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</row>
    <row r="540" spans="1:52" s="37" customFormat="1">
      <c r="A540" s="22">
        <v>41199</v>
      </c>
      <c r="B540" s="15">
        <v>-412.72</v>
      </c>
      <c r="C540" s="15"/>
      <c r="D540" s="17">
        <v>41053</v>
      </c>
      <c r="E540" s="12">
        <v>-414.37</v>
      </c>
      <c r="F540" s="12"/>
      <c r="G540" s="17">
        <v>41069</v>
      </c>
      <c r="H540" s="12">
        <v>-481.14</v>
      </c>
      <c r="I540" s="12"/>
      <c r="J540" s="17">
        <v>41114</v>
      </c>
      <c r="K540" s="20">
        <f>23-506</f>
        <v>-483</v>
      </c>
      <c r="L540" s="26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</row>
    <row r="541" spans="1:52" s="37" customFormat="1">
      <c r="A541" s="22">
        <v>41201</v>
      </c>
      <c r="B541" s="15">
        <v>-412.96</v>
      </c>
      <c r="C541" s="15"/>
      <c r="D541" s="17">
        <v>41054</v>
      </c>
      <c r="E541" s="12">
        <v>-412.48</v>
      </c>
      <c r="F541" s="12"/>
      <c r="G541" s="17">
        <v>41070</v>
      </c>
      <c r="H541" s="12">
        <v>-480.52</v>
      </c>
      <c r="I541" s="12"/>
      <c r="J541" s="17">
        <v>41115</v>
      </c>
      <c r="K541" s="20">
        <f>23-507.24</f>
        <v>-484.24</v>
      </c>
      <c r="L541" s="26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</row>
    <row r="542" spans="1:52" s="37" customFormat="1">
      <c r="A542" s="22">
        <v>41204</v>
      </c>
      <c r="B542" s="15">
        <v>-414.73</v>
      </c>
      <c r="C542" s="15"/>
      <c r="D542" s="17">
        <v>41055</v>
      </c>
      <c r="E542" s="12">
        <v>-415.58</v>
      </c>
      <c r="F542" s="12"/>
      <c r="G542" s="17">
        <v>41071</v>
      </c>
      <c r="H542" s="12">
        <v>-478.01</v>
      </c>
      <c r="I542" s="12"/>
      <c r="J542" s="17">
        <v>41116</v>
      </c>
      <c r="K542" s="20">
        <f>23-509.04</f>
        <v>-486.04</v>
      </c>
      <c r="L542" s="26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</row>
    <row r="543" spans="1:52" s="37" customFormat="1">
      <c r="A543" s="22">
        <v>41218</v>
      </c>
      <c r="B543" s="15">
        <v>-416.69</v>
      </c>
      <c r="C543" s="15"/>
      <c r="D543" s="17">
        <v>41056</v>
      </c>
      <c r="E543" s="12">
        <v>-412.82</v>
      </c>
      <c r="F543" s="12"/>
      <c r="G543" s="17">
        <v>41072</v>
      </c>
      <c r="H543" s="12">
        <v>-480.31</v>
      </c>
      <c r="I543" s="12"/>
      <c r="J543" s="17">
        <v>41117</v>
      </c>
      <c r="K543" s="20">
        <f>23-510.66</f>
        <v>-487.66</v>
      </c>
      <c r="L543" s="26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</row>
    <row r="544" spans="1:52" s="37" customFormat="1">
      <c r="A544" s="22">
        <v>41232</v>
      </c>
      <c r="B544" s="15">
        <v>-417.92</v>
      </c>
      <c r="C544" s="15"/>
      <c r="D544" s="17">
        <v>41057</v>
      </c>
      <c r="E544" s="12">
        <v>-416.79</v>
      </c>
      <c r="F544" s="12"/>
      <c r="G544" s="17">
        <v>41073</v>
      </c>
      <c r="H544" s="12">
        <v>-478.71</v>
      </c>
      <c r="I544" s="12"/>
      <c r="J544" s="17">
        <v>41118</v>
      </c>
      <c r="K544" s="20">
        <f>23-508.09</f>
        <v>-485.09</v>
      </c>
      <c r="L544" s="26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</row>
    <row r="545" spans="1:52" s="37" customFormat="1">
      <c r="A545" s="22">
        <v>41246</v>
      </c>
      <c r="B545" s="15">
        <v>-414.41</v>
      </c>
      <c r="C545" s="15"/>
      <c r="D545" s="17">
        <v>41058</v>
      </c>
      <c r="E545" s="12">
        <v>-421.32</v>
      </c>
      <c r="F545" s="12"/>
      <c r="G545" s="17">
        <v>41074</v>
      </c>
      <c r="H545" s="12">
        <v>-478.33</v>
      </c>
      <c r="I545" s="12"/>
      <c r="J545" s="17">
        <v>41119</v>
      </c>
      <c r="K545" s="20">
        <f>23-509.58</f>
        <v>-486.58</v>
      </c>
      <c r="L545" s="26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</row>
    <row r="546" spans="1:52" s="37" customFormat="1">
      <c r="A546" s="22">
        <v>41260</v>
      </c>
      <c r="B546" s="15">
        <v>-415.35</v>
      </c>
      <c r="C546" s="15"/>
      <c r="D546" s="17">
        <v>41059</v>
      </c>
      <c r="E546" s="12">
        <v>-422.22</v>
      </c>
      <c r="F546" s="12"/>
      <c r="G546" s="17">
        <v>41075</v>
      </c>
      <c r="H546" s="12">
        <v>-481.91</v>
      </c>
      <c r="I546" s="12"/>
      <c r="J546" s="17">
        <v>41120</v>
      </c>
      <c r="K546" s="20">
        <f>23-509.97</f>
        <v>-486.97</v>
      </c>
      <c r="L546" s="26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</row>
    <row r="547" spans="1:52" s="37" customFormat="1">
      <c r="A547" s="22">
        <v>41276</v>
      </c>
      <c r="B547" s="15">
        <v>-411.52</v>
      </c>
      <c r="C547" s="15"/>
      <c r="D547" s="17">
        <v>41060</v>
      </c>
      <c r="E547" s="12">
        <v>-423.63</v>
      </c>
      <c r="F547" s="12"/>
      <c r="G547" s="17">
        <v>41076</v>
      </c>
      <c r="H547" s="12">
        <v>-480.67</v>
      </c>
      <c r="I547" s="12"/>
      <c r="J547" s="17">
        <v>41121</v>
      </c>
      <c r="K547" s="20">
        <f>23-509.12</f>
        <v>-486.12</v>
      </c>
      <c r="L547" s="26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</row>
    <row r="548" spans="1:52" s="37" customFormat="1">
      <c r="A548" s="22">
        <v>41288</v>
      </c>
      <c r="B548" s="15">
        <v>-410.68</v>
      </c>
      <c r="C548" s="15"/>
      <c r="D548" s="17">
        <v>41061</v>
      </c>
      <c r="E548" s="12">
        <v>-426.8</v>
      </c>
      <c r="F548" s="12"/>
      <c r="G548" s="17">
        <v>41077</v>
      </c>
      <c r="H548" s="12">
        <v>-484.09</v>
      </c>
      <c r="I548" s="12"/>
      <c r="J548" s="17">
        <v>41122</v>
      </c>
      <c r="K548" s="20">
        <f>23-508.76</f>
        <v>-485.76</v>
      </c>
      <c r="L548" s="26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</row>
    <row r="549" spans="1:52">
      <c r="A549" s="22">
        <v>41306</v>
      </c>
      <c r="B549" s="15">
        <v>-410.1</v>
      </c>
      <c r="C549" s="15"/>
      <c r="D549" s="17">
        <v>41062</v>
      </c>
      <c r="E549" s="12">
        <v>-428.91</v>
      </c>
      <c r="G549" s="17">
        <v>41078</v>
      </c>
      <c r="H549" s="12">
        <v>-484.69</v>
      </c>
      <c r="J549" s="17">
        <v>41123</v>
      </c>
      <c r="K549" s="20">
        <f>23-508.28</f>
        <v>-485.28</v>
      </c>
    </row>
    <row r="550" spans="1:52">
      <c r="A550" s="22">
        <v>41321</v>
      </c>
      <c r="B550" s="15">
        <v>-408.22</v>
      </c>
      <c r="C550" s="15"/>
      <c r="D550" s="17">
        <v>41063</v>
      </c>
      <c r="E550" s="12">
        <v>-430.75</v>
      </c>
      <c r="G550" s="17">
        <v>41079</v>
      </c>
      <c r="H550" s="12">
        <v>-482.92</v>
      </c>
      <c r="J550" s="17">
        <v>41124</v>
      </c>
      <c r="K550" s="20">
        <f>23-509.89</f>
        <v>-486.89</v>
      </c>
    </row>
    <row r="551" spans="1:52">
      <c r="A551" s="22">
        <v>41337</v>
      </c>
      <c r="B551" s="15">
        <v>-409.35</v>
      </c>
      <c r="C551" s="15"/>
      <c r="D551" s="17">
        <v>41064</v>
      </c>
      <c r="E551" s="12">
        <v>-431.88</v>
      </c>
      <c r="G551" s="17">
        <v>41080</v>
      </c>
      <c r="H551" s="12">
        <v>-486.46</v>
      </c>
      <c r="J551" s="17">
        <v>41125</v>
      </c>
      <c r="K551" s="20">
        <f>23-509.85</f>
        <v>-486.85</v>
      </c>
    </row>
    <row r="552" spans="1:52">
      <c r="A552" s="22">
        <v>41351</v>
      </c>
      <c r="B552" s="15">
        <v>-408.44</v>
      </c>
      <c r="C552" s="15"/>
      <c r="D552" s="17">
        <v>41065</v>
      </c>
      <c r="E552" s="12">
        <v>-431.75</v>
      </c>
      <c r="G552" s="17">
        <v>41081</v>
      </c>
      <c r="H552" s="12">
        <v>-486.49</v>
      </c>
      <c r="J552" s="17">
        <v>41126</v>
      </c>
      <c r="K552" s="20">
        <f>23-510.6</f>
        <v>-487.6</v>
      </c>
    </row>
    <row r="553" spans="1:52">
      <c r="A553" s="22">
        <v>41365</v>
      </c>
      <c r="B553" s="15">
        <f>-412.04</f>
        <v>-412.04</v>
      </c>
      <c r="C553" s="15"/>
      <c r="D553" s="17">
        <v>41066</v>
      </c>
      <c r="E553" s="12">
        <v>-435.81</v>
      </c>
      <c r="G553" s="17">
        <v>41082</v>
      </c>
      <c r="H553" s="12">
        <v>-485.53</v>
      </c>
      <c r="J553" s="17">
        <v>41127</v>
      </c>
      <c r="K553" s="20">
        <f>23-512.05</f>
        <v>-489.04999999999995</v>
      </c>
    </row>
    <row r="554" spans="1:52">
      <c r="A554" s="22">
        <v>41399</v>
      </c>
      <c r="B554" s="15">
        <f>-415.05</f>
        <v>-415.05</v>
      </c>
      <c r="C554" s="15"/>
      <c r="D554" s="17">
        <v>41067</v>
      </c>
      <c r="E554" s="12">
        <v>-437.84</v>
      </c>
      <c r="G554" s="17">
        <v>41083</v>
      </c>
      <c r="H554" s="12">
        <v>-487.21</v>
      </c>
      <c r="J554" s="17">
        <v>41128</v>
      </c>
      <c r="K554" s="20">
        <f>23-507.91</f>
        <v>-484.91</v>
      </c>
    </row>
    <row r="555" spans="1:52">
      <c r="A555" s="22">
        <v>41432</v>
      </c>
      <c r="B555" s="15">
        <f>-413.94</f>
        <v>-413.94</v>
      </c>
      <c r="C555" s="15"/>
      <c r="D555" s="17">
        <v>41068</v>
      </c>
      <c r="E555" s="12">
        <v>-437.22</v>
      </c>
      <c r="G555" s="17">
        <v>41084</v>
      </c>
      <c r="H555" s="12">
        <v>-488.2</v>
      </c>
      <c r="J555" s="17">
        <v>41129</v>
      </c>
      <c r="K555" s="20">
        <f>23-509.77</f>
        <v>-486.77</v>
      </c>
    </row>
    <row r="556" spans="1:52">
      <c r="A556" s="22">
        <v>41461</v>
      </c>
      <c r="B556" s="15">
        <f>-411.7</f>
        <v>-411.7</v>
      </c>
      <c r="C556" s="15"/>
      <c r="D556" s="17">
        <v>41069</v>
      </c>
      <c r="E556" s="12">
        <v>-440.93</v>
      </c>
      <c r="G556" s="17">
        <v>41085</v>
      </c>
      <c r="H556" s="12">
        <v>-488.22</v>
      </c>
      <c r="J556" s="17">
        <v>41130</v>
      </c>
      <c r="K556" s="20">
        <f>23-510.37</f>
        <v>-487.37</v>
      </c>
    </row>
    <row r="557" spans="1:52">
      <c r="A557" s="22">
        <v>41493</v>
      </c>
      <c r="B557" s="15">
        <f>-413.59</f>
        <v>-413.59</v>
      </c>
      <c r="C557" s="15"/>
      <c r="D557" s="17">
        <v>41070</v>
      </c>
      <c r="E557" s="12">
        <v>-439.93</v>
      </c>
      <c r="G557" s="17">
        <v>41086</v>
      </c>
      <c r="H557" s="12">
        <v>-492.03</v>
      </c>
      <c r="J557" s="17">
        <v>41131</v>
      </c>
      <c r="K557" s="20">
        <f>23-509.66</f>
        <v>-486.66</v>
      </c>
    </row>
    <row r="558" spans="1:52">
      <c r="A558" s="22">
        <v>41524</v>
      </c>
      <c r="B558" s="15">
        <f>-413.84</f>
        <v>-413.84</v>
      </c>
      <c r="C558" s="15"/>
      <c r="D558" s="17">
        <v>41071</v>
      </c>
      <c r="E558" s="12">
        <v>-442</v>
      </c>
      <c r="G558" s="17">
        <v>41087</v>
      </c>
      <c r="H558" s="12">
        <v>-494.23</v>
      </c>
      <c r="J558" s="17">
        <v>41132</v>
      </c>
      <c r="K558" s="20">
        <f>23-507.3</f>
        <v>-484.3</v>
      </c>
    </row>
    <row r="559" spans="1:52">
      <c r="A559" s="22">
        <v>41554</v>
      </c>
      <c r="B559" s="15">
        <f>-413.82</f>
        <v>-413.82</v>
      </c>
      <c r="C559" s="15"/>
      <c r="D559" s="17">
        <v>41072</v>
      </c>
      <c r="E559" s="12">
        <v>-442.66</v>
      </c>
      <c r="G559" s="17">
        <v>41088</v>
      </c>
      <c r="H559" s="12">
        <v>-494.23</v>
      </c>
      <c r="J559" s="17">
        <v>41133</v>
      </c>
      <c r="K559" s="20">
        <f>23-507.73</f>
        <v>-484.73</v>
      </c>
    </row>
    <row r="560" spans="1:52">
      <c r="A560" s="22"/>
      <c r="B560" s="15"/>
      <c r="C560" s="15"/>
      <c r="D560" s="17">
        <v>41073</v>
      </c>
      <c r="E560" s="12">
        <v>-444.87</v>
      </c>
      <c r="G560" s="17">
        <v>41089</v>
      </c>
      <c r="H560" s="12">
        <v>-493.11</v>
      </c>
      <c r="J560" s="17">
        <v>41134</v>
      </c>
      <c r="K560" s="20">
        <f>23-507.28</f>
        <v>-484.28</v>
      </c>
    </row>
    <row r="561" spans="1:11">
      <c r="A561" s="22"/>
      <c r="B561" s="15"/>
      <c r="C561" s="15"/>
      <c r="D561" s="17">
        <v>41074</v>
      </c>
      <c r="E561" s="12">
        <v>-445.04</v>
      </c>
      <c r="G561" s="17">
        <v>41090</v>
      </c>
      <c r="H561" s="12">
        <v>-492.19</v>
      </c>
      <c r="J561" s="17">
        <v>41135</v>
      </c>
      <c r="K561" s="20">
        <f>23-506.95</f>
        <v>-483.95</v>
      </c>
    </row>
    <row r="562" spans="1:11">
      <c r="A562" s="22"/>
      <c r="B562" s="15"/>
      <c r="C562" s="15"/>
      <c r="D562" s="17">
        <v>41075</v>
      </c>
      <c r="E562" s="12">
        <v>-447.99</v>
      </c>
      <c r="G562" s="17">
        <v>41091</v>
      </c>
      <c r="H562" s="12">
        <v>-492.4</v>
      </c>
      <c r="J562" s="17">
        <v>41136</v>
      </c>
      <c r="K562" s="20">
        <f>23-508.69</f>
        <v>-485.69</v>
      </c>
    </row>
    <row r="563" spans="1:11">
      <c r="A563" s="22"/>
      <c r="B563" s="15"/>
      <c r="C563" s="15"/>
      <c r="D563" s="17">
        <v>41076</v>
      </c>
      <c r="E563" s="12">
        <v>-447.72</v>
      </c>
      <c r="G563" s="17">
        <v>41092</v>
      </c>
      <c r="H563" s="12">
        <v>-495.76</v>
      </c>
      <c r="J563" s="17">
        <v>41137</v>
      </c>
      <c r="K563" s="20">
        <f>23-508.85</f>
        <v>-485.85</v>
      </c>
    </row>
    <row r="564" spans="1:11">
      <c r="A564" s="22"/>
      <c r="B564" s="15"/>
      <c r="C564" s="15"/>
      <c r="D564" s="17">
        <v>41077</v>
      </c>
      <c r="E564" s="12">
        <v>-449.66</v>
      </c>
      <c r="G564" s="17">
        <v>41093</v>
      </c>
      <c r="H564" s="12">
        <v>-491.42</v>
      </c>
      <c r="J564" s="17">
        <v>41138</v>
      </c>
      <c r="K564" s="20">
        <f>23-509.29</f>
        <v>-486.29</v>
      </c>
    </row>
    <row r="565" spans="1:11">
      <c r="A565" s="22"/>
      <c r="B565" s="15"/>
      <c r="C565" s="15"/>
      <c r="D565" s="17">
        <v>41078</v>
      </c>
      <c r="E565" s="12">
        <v>-450.19</v>
      </c>
      <c r="G565" s="17">
        <v>41094</v>
      </c>
      <c r="H565" s="12">
        <v>-496.58</v>
      </c>
      <c r="J565" s="17">
        <v>41139</v>
      </c>
      <c r="K565" s="20">
        <f>23-507.12</f>
        <v>-484.12</v>
      </c>
    </row>
    <row r="566" spans="1:11">
      <c r="A566" s="22"/>
      <c r="B566" s="15"/>
      <c r="C566" s="15"/>
      <c r="D566" s="17">
        <v>41079</v>
      </c>
      <c r="E566" s="12">
        <v>-451.66</v>
      </c>
      <c r="G566" s="17">
        <v>41095</v>
      </c>
      <c r="H566" s="12">
        <v>-493.46</v>
      </c>
      <c r="J566" s="17">
        <v>41140</v>
      </c>
      <c r="K566" s="20">
        <f>23-507.12</f>
        <v>-484.12</v>
      </c>
    </row>
    <row r="567" spans="1:11">
      <c r="A567" s="22"/>
      <c r="B567" s="15"/>
      <c r="C567" s="15"/>
      <c r="D567" s="17">
        <v>41080</v>
      </c>
      <c r="E567" s="12">
        <v>-457.19</v>
      </c>
      <c r="G567" s="17">
        <v>41096</v>
      </c>
      <c r="H567" s="12">
        <v>-496.66</v>
      </c>
      <c r="J567" s="17">
        <v>41141</v>
      </c>
      <c r="K567" s="20">
        <f>23-507.35</f>
        <v>-484.35</v>
      </c>
    </row>
    <row r="568" spans="1:11">
      <c r="A568" s="22"/>
      <c r="B568" s="15"/>
      <c r="C568" s="15"/>
      <c r="D568" s="17">
        <v>41081</v>
      </c>
      <c r="E568" s="12">
        <v>-456.52</v>
      </c>
      <c r="G568" s="17">
        <v>41097</v>
      </c>
      <c r="H568" s="12">
        <v>-496.29</v>
      </c>
      <c r="J568" s="17">
        <v>41142</v>
      </c>
      <c r="K568" s="20">
        <f>23-506.88</f>
        <v>-483.88</v>
      </c>
    </row>
    <row r="569" spans="1:11">
      <c r="A569" s="22"/>
      <c r="B569" s="15"/>
      <c r="C569" s="15"/>
      <c r="D569" s="17">
        <v>41082</v>
      </c>
      <c r="E569" s="12">
        <v>-459.8</v>
      </c>
      <c r="G569" s="17">
        <v>41098</v>
      </c>
      <c r="H569" s="12">
        <v>-492.99</v>
      </c>
      <c r="J569" s="17">
        <v>41143</v>
      </c>
      <c r="K569" s="20">
        <f>23-506.79</f>
        <v>-483.79</v>
      </c>
    </row>
    <row r="570" spans="1:11">
      <c r="A570" s="22"/>
      <c r="B570" s="15"/>
      <c r="C570" s="15"/>
      <c r="D570" s="17">
        <v>41083</v>
      </c>
      <c r="E570" s="12">
        <v>-462.57</v>
      </c>
      <c r="G570" s="17">
        <v>41099</v>
      </c>
      <c r="H570" s="12">
        <v>-497.39</v>
      </c>
      <c r="J570" s="17">
        <v>41144</v>
      </c>
      <c r="K570" s="20">
        <f>23-506.35</f>
        <v>-483.35</v>
      </c>
    </row>
    <row r="571" spans="1:11">
      <c r="A571" s="22"/>
      <c r="B571" s="15"/>
      <c r="C571" s="15"/>
      <c r="D571" s="17">
        <v>41084</v>
      </c>
      <c r="E571" s="12">
        <v>-460.57</v>
      </c>
      <c r="G571" s="17">
        <v>41100</v>
      </c>
      <c r="H571" s="12">
        <v>-498.2</v>
      </c>
      <c r="J571" s="17">
        <v>41145</v>
      </c>
      <c r="K571" s="20">
        <f>23-505.97</f>
        <v>-482.97</v>
      </c>
    </row>
    <row r="572" spans="1:11">
      <c r="A572" s="22"/>
      <c r="B572" s="15"/>
      <c r="C572" s="15"/>
      <c r="D572" s="17">
        <v>41085</v>
      </c>
      <c r="E572" s="12">
        <v>-461.06</v>
      </c>
      <c r="G572" s="17">
        <v>41101</v>
      </c>
      <c r="H572" s="12">
        <v>-495.5</v>
      </c>
      <c r="J572" s="17">
        <v>41146</v>
      </c>
      <c r="K572" s="20">
        <f>23-504.55</f>
        <v>-481.55</v>
      </c>
    </row>
    <row r="573" spans="1:11">
      <c r="A573" s="22"/>
      <c r="B573" s="15"/>
      <c r="C573" s="15"/>
      <c r="D573" s="17">
        <v>41086</v>
      </c>
      <c r="E573" s="12">
        <v>-464.52</v>
      </c>
      <c r="G573" s="17">
        <v>41102</v>
      </c>
      <c r="H573" s="12">
        <v>-497.43</v>
      </c>
      <c r="J573" s="17">
        <v>41147</v>
      </c>
      <c r="K573" s="20">
        <f>23-504.95</f>
        <v>-481.95</v>
      </c>
    </row>
    <row r="574" spans="1:11">
      <c r="A574" s="22"/>
      <c r="B574" s="15"/>
      <c r="C574" s="15"/>
      <c r="D574" s="17">
        <v>41087</v>
      </c>
      <c r="E574" s="12">
        <v>-464</v>
      </c>
      <c r="G574" s="17">
        <v>41103</v>
      </c>
      <c r="H574" s="12">
        <v>-494.32</v>
      </c>
      <c r="J574" s="17">
        <v>41148</v>
      </c>
      <c r="K574" s="20">
        <f>23-506.15</f>
        <v>-483.15</v>
      </c>
    </row>
    <row r="575" spans="1:11">
      <c r="A575" s="22"/>
      <c r="B575" s="15"/>
      <c r="C575" s="15"/>
      <c r="D575" s="17">
        <v>41088</v>
      </c>
      <c r="E575" s="12">
        <v>-465.61</v>
      </c>
      <c r="G575" s="17">
        <v>41104</v>
      </c>
      <c r="H575" s="12">
        <v>-497.37</v>
      </c>
      <c r="J575" s="17">
        <v>41149</v>
      </c>
      <c r="K575" s="20">
        <f>23-504.01</f>
        <v>-481.01</v>
      </c>
    </row>
    <row r="576" spans="1:11">
      <c r="A576" s="22"/>
      <c r="B576" s="15"/>
      <c r="C576" s="15"/>
      <c r="D576" s="17">
        <v>41089</v>
      </c>
      <c r="E576" s="12">
        <v>-464</v>
      </c>
      <c r="G576" s="17">
        <v>41105</v>
      </c>
      <c r="H576" s="12">
        <v>-490.85</v>
      </c>
      <c r="J576" s="17">
        <v>41150</v>
      </c>
      <c r="K576" s="20">
        <f>23-504.92</f>
        <v>-481.92</v>
      </c>
    </row>
    <row r="577" spans="1:11">
      <c r="A577" s="22"/>
      <c r="B577" s="15"/>
      <c r="C577" s="15"/>
      <c r="D577" s="17">
        <v>41090</v>
      </c>
      <c r="E577" s="12">
        <v>-465.62</v>
      </c>
      <c r="G577" s="17">
        <v>41106</v>
      </c>
      <c r="H577" s="12">
        <v>-495.25</v>
      </c>
      <c r="J577" s="17">
        <v>41151</v>
      </c>
      <c r="K577" s="20">
        <f>23-504.85</f>
        <v>-481.85</v>
      </c>
    </row>
    <row r="578" spans="1:11">
      <c r="A578" s="22"/>
      <c r="B578" s="15"/>
      <c r="C578" s="15"/>
      <c r="D578" s="17">
        <v>41091</v>
      </c>
      <c r="E578" s="12">
        <v>-465.7</v>
      </c>
      <c r="G578" s="17">
        <v>41107</v>
      </c>
      <c r="H578" s="12">
        <v>-492.56</v>
      </c>
      <c r="J578" s="17">
        <v>41152</v>
      </c>
      <c r="K578" s="20">
        <f>23-506.32</f>
        <v>-483.32</v>
      </c>
    </row>
    <row r="579" spans="1:11">
      <c r="A579" s="22"/>
      <c r="B579" s="15"/>
      <c r="C579" s="15"/>
      <c r="D579" s="17">
        <v>41092</v>
      </c>
      <c r="E579" s="12">
        <v>-466.28</v>
      </c>
      <c r="G579" s="17">
        <v>41108</v>
      </c>
      <c r="H579" s="12">
        <v>-492.13</v>
      </c>
      <c r="J579" s="17">
        <v>41153</v>
      </c>
      <c r="K579" s="20">
        <f>23-511.03</f>
        <v>-488.03</v>
      </c>
    </row>
    <row r="580" spans="1:11">
      <c r="A580" s="22"/>
      <c r="B580" s="15"/>
      <c r="C580" s="15"/>
      <c r="D580" s="17">
        <v>41093</v>
      </c>
      <c r="E580" s="12">
        <v>-464.85</v>
      </c>
      <c r="G580" s="17">
        <v>41109</v>
      </c>
      <c r="H580" s="12">
        <v>-490.89</v>
      </c>
      <c r="J580" s="17">
        <v>41154</v>
      </c>
      <c r="K580" s="20">
        <f>23-507.63</f>
        <v>-484.63</v>
      </c>
    </row>
    <row r="581" spans="1:11">
      <c r="A581" s="22"/>
      <c r="B581" s="15"/>
      <c r="C581" s="15"/>
      <c r="D581" s="17">
        <v>41094</v>
      </c>
      <c r="E581" s="12">
        <v>-474.24</v>
      </c>
      <c r="G581" s="17">
        <v>41110</v>
      </c>
      <c r="H581" s="12">
        <v>-491.23</v>
      </c>
      <c r="J581" s="17">
        <v>41155</v>
      </c>
      <c r="K581" s="20">
        <f>23-511.53</f>
        <v>-488.53</v>
      </c>
    </row>
    <row r="582" spans="1:11">
      <c r="A582" s="22"/>
      <c r="B582" s="15"/>
      <c r="C582" s="15"/>
      <c r="D582" s="17">
        <v>41095</v>
      </c>
      <c r="E582" s="12">
        <v>-478.66</v>
      </c>
      <c r="G582" s="17">
        <v>41111</v>
      </c>
      <c r="H582" s="12">
        <v>-490.44</v>
      </c>
      <c r="J582" s="17">
        <v>41156</v>
      </c>
      <c r="K582" s="20">
        <f>23-511.23</f>
        <v>-488.23</v>
      </c>
    </row>
    <row r="583" spans="1:11">
      <c r="A583" s="22"/>
      <c r="B583" s="15"/>
      <c r="C583" s="15"/>
      <c r="D583" s="17">
        <v>41096</v>
      </c>
      <c r="E583" s="12">
        <v>-478.33</v>
      </c>
      <c r="G583" s="17">
        <v>41112</v>
      </c>
      <c r="H583" s="12">
        <v>-491.58</v>
      </c>
      <c r="J583" s="17">
        <v>41157</v>
      </c>
      <c r="K583" s="20">
        <f>23-511.42</f>
        <v>-488.42</v>
      </c>
    </row>
    <row r="584" spans="1:11">
      <c r="A584" s="22"/>
      <c r="B584" s="15"/>
      <c r="C584" s="15"/>
      <c r="D584" s="17">
        <v>41097</v>
      </c>
      <c r="E584" s="12">
        <v>-481.11</v>
      </c>
      <c r="G584" s="17">
        <v>41113</v>
      </c>
      <c r="H584" s="12">
        <v>-490.28</v>
      </c>
      <c r="J584" s="17">
        <v>41158</v>
      </c>
      <c r="K584" s="20">
        <f>23-514.6</f>
        <v>-491.6</v>
      </c>
    </row>
    <row r="585" spans="1:11">
      <c r="A585" s="22"/>
      <c r="B585" s="15"/>
      <c r="C585" s="15"/>
      <c r="D585" s="17">
        <v>41098</v>
      </c>
      <c r="E585" s="12">
        <v>-479.96</v>
      </c>
      <c r="G585" s="17">
        <v>41114</v>
      </c>
      <c r="H585" s="12">
        <v>-489.46</v>
      </c>
      <c r="J585" s="17">
        <v>41159</v>
      </c>
      <c r="K585" s="20">
        <f>23-513.09</f>
        <v>-490.09000000000003</v>
      </c>
    </row>
    <row r="586" spans="1:11">
      <c r="A586" s="22"/>
      <c r="B586" s="15"/>
      <c r="C586" s="15"/>
      <c r="D586" s="17">
        <v>41099</v>
      </c>
      <c r="E586" s="12">
        <v>-482.27</v>
      </c>
      <c r="G586" s="17">
        <v>41115</v>
      </c>
      <c r="H586" s="12">
        <v>-486.76</v>
      </c>
      <c r="J586" s="17">
        <v>41160</v>
      </c>
      <c r="K586" s="20">
        <f>23-512.58</f>
        <v>-489.58000000000004</v>
      </c>
    </row>
    <row r="587" spans="1:11">
      <c r="A587" s="22"/>
      <c r="B587" s="15"/>
      <c r="C587" s="15"/>
      <c r="D587" s="17">
        <v>41100</v>
      </c>
      <c r="E587" s="12">
        <v>-485.04</v>
      </c>
      <c r="G587" s="17">
        <v>41116</v>
      </c>
      <c r="H587" s="12">
        <v>-489.42</v>
      </c>
      <c r="J587" s="17">
        <v>41161</v>
      </c>
      <c r="K587" s="20">
        <f>23-512.35</f>
        <v>-489.35</v>
      </c>
    </row>
    <row r="588" spans="1:11">
      <c r="A588" s="22"/>
      <c r="B588" s="15"/>
      <c r="C588" s="15"/>
      <c r="D588" s="17">
        <v>41101</v>
      </c>
      <c r="E588" s="12">
        <v>-485.92</v>
      </c>
      <c r="G588" s="17">
        <v>41117</v>
      </c>
      <c r="H588" s="12">
        <v>-491.5</v>
      </c>
      <c r="J588" s="17">
        <v>41162</v>
      </c>
      <c r="K588" s="20">
        <f>23-512.26</f>
        <v>-489.26</v>
      </c>
    </row>
    <row r="589" spans="1:11">
      <c r="A589" s="22"/>
      <c r="B589" s="15"/>
      <c r="C589" s="15"/>
      <c r="D589" s="17">
        <v>41102</v>
      </c>
      <c r="E589" s="12">
        <v>-487.88</v>
      </c>
      <c r="G589" s="17">
        <v>41118</v>
      </c>
      <c r="H589" s="12">
        <v>-491.3</v>
      </c>
      <c r="J589" s="17">
        <v>41163</v>
      </c>
      <c r="K589" s="20">
        <f>23-511.79</f>
        <v>-488.79</v>
      </c>
    </row>
    <row r="590" spans="1:11">
      <c r="A590" s="22"/>
      <c r="B590" s="15"/>
      <c r="C590" s="15"/>
      <c r="D590" s="17">
        <v>41103</v>
      </c>
      <c r="E590" s="12">
        <v>-485.24</v>
      </c>
      <c r="G590" s="17">
        <v>41119</v>
      </c>
      <c r="H590" s="12">
        <v>-492.69</v>
      </c>
      <c r="J590" s="17">
        <v>41164</v>
      </c>
      <c r="K590" s="20">
        <f>23-507.82</f>
        <v>-484.82</v>
      </c>
    </row>
    <row r="591" spans="1:11">
      <c r="A591" s="22"/>
      <c r="B591" s="15"/>
      <c r="C591" s="15"/>
      <c r="D591" s="17">
        <v>41104</v>
      </c>
      <c r="E591" s="12">
        <v>-486.19</v>
      </c>
      <c r="G591" s="17">
        <v>41120</v>
      </c>
      <c r="H591" s="12">
        <v>-492.39</v>
      </c>
      <c r="J591" s="17">
        <v>41165</v>
      </c>
      <c r="K591" s="20">
        <f>23-509.48</f>
        <v>-486.48</v>
      </c>
    </row>
    <row r="592" spans="1:11">
      <c r="A592" s="22"/>
      <c r="B592" s="15"/>
      <c r="C592" s="15"/>
      <c r="D592" s="17">
        <v>41105</v>
      </c>
      <c r="E592" s="12">
        <v>-486.4</v>
      </c>
      <c r="G592" s="17">
        <v>41121</v>
      </c>
      <c r="H592" s="12">
        <v>-492.32</v>
      </c>
      <c r="J592" s="17">
        <v>41166</v>
      </c>
      <c r="K592" s="20">
        <f>23-509.48</f>
        <v>-486.48</v>
      </c>
    </row>
    <row r="593" spans="1:52">
      <c r="A593" s="22"/>
      <c r="B593" s="15"/>
      <c r="C593" s="15"/>
      <c r="D593" s="17">
        <v>41106</v>
      </c>
      <c r="E593" s="12">
        <v>-487.19</v>
      </c>
      <c r="G593" s="17">
        <v>41122</v>
      </c>
      <c r="H593" s="12">
        <v>-493.44</v>
      </c>
      <c r="J593" s="17">
        <v>41167</v>
      </c>
      <c r="K593" s="20">
        <f>23-509.48</f>
        <v>-486.48</v>
      </c>
    </row>
    <row r="594" spans="1:52">
      <c r="A594" s="22"/>
      <c r="B594" s="15"/>
      <c r="C594" s="15"/>
      <c r="D594" s="17">
        <v>41107</v>
      </c>
      <c r="E594" s="12">
        <v>-489.49</v>
      </c>
      <c r="G594" s="17">
        <v>41123</v>
      </c>
      <c r="H594" s="12">
        <v>-492.46</v>
      </c>
      <c r="J594" s="17">
        <v>41168</v>
      </c>
      <c r="K594" s="20">
        <f>23-509.48</f>
        <v>-486.48</v>
      </c>
    </row>
    <row r="595" spans="1:52">
      <c r="A595" s="22"/>
      <c r="B595" s="15"/>
      <c r="C595" s="15"/>
      <c r="D595" s="17">
        <v>41108</v>
      </c>
      <c r="E595" s="12">
        <v>-487.69</v>
      </c>
      <c r="G595" s="17">
        <v>41124</v>
      </c>
      <c r="H595" s="12">
        <v>-491.65</v>
      </c>
      <c r="J595" s="17">
        <v>41169</v>
      </c>
      <c r="K595" s="20">
        <f>23-509.48</f>
        <v>-486.48</v>
      </c>
    </row>
    <row r="596" spans="1:52">
      <c r="A596" s="22"/>
      <c r="B596" s="15"/>
      <c r="C596" s="15"/>
      <c r="D596" s="17">
        <v>41109</v>
      </c>
      <c r="E596" s="12">
        <v>-489.11</v>
      </c>
      <c r="G596" s="17">
        <v>41125</v>
      </c>
      <c r="H596" s="12">
        <v>-488.7</v>
      </c>
      <c r="J596" s="17">
        <v>41170</v>
      </c>
      <c r="K596" s="20">
        <f>23-509.42</f>
        <v>-486.42</v>
      </c>
    </row>
    <row r="597" spans="1:52" s="37" customFormat="1">
      <c r="A597" s="22"/>
      <c r="B597" s="15"/>
      <c r="C597" s="15"/>
      <c r="D597" s="17">
        <v>41110</v>
      </c>
      <c r="E597" s="12">
        <v>-489.07</v>
      </c>
      <c r="F597" s="12"/>
      <c r="G597" s="17">
        <v>41126</v>
      </c>
      <c r="H597" s="12">
        <v>-488.77</v>
      </c>
      <c r="I597" s="12"/>
      <c r="J597" s="17">
        <v>41171</v>
      </c>
      <c r="K597" s="20">
        <f>23-509.68</f>
        <v>-486.68</v>
      </c>
      <c r="L597" s="26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</row>
    <row r="598" spans="1:52" s="37" customFormat="1">
      <c r="A598" s="22"/>
      <c r="B598" s="15"/>
      <c r="C598" s="15"/>
      <c r="D598" s="17">
        <v>41111</v>
      </c>
      <c r="E598" s="12">
        <v>-489.33</v>
      </c>
      <c r="F598" s="12"/>
      <c r="G598" s="17">
        <v>41127</v>
      </c>
      <c r="H598" s="12">
        <v>-487.88</v>
      </c>
      <c r="I598" s="12"/>
      <c r="J598" s="17">
        <v>41172</v>
      </c>
      <c r="K598" s="20">
        <f>23-510.71</f>
        <v>-487.71</v>
      </c>
      <c r="L598" s="26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</row>
    <row r="599" spans="1:52" s="37" customFormat="1">
      <c r="A599" s="22"/>
      <c r="B599" s="15"/>
      <c r="C599" s="15"/>
      <c r="D599" s="17">
        <v>41112</v>
      </c>
      <c r="E599" s="12">
        <v>-490.38</v>
      </c>
      <c r="F599" s="12"/>
      <c r="G599" s="17">
        <v>41128</v>
      </c>
      <c r="H599" s="12">
        <v>-485.83</v>
      </c>
      <c r="I599" s="12"/>
      <c r="J599" s="17">
        <v>41173</v>
      </c>
      <c r="K599" s="20">
        <f>23-510.99</f>
        <v>-487.99</v>
      </c>
      <c r="L599" s="26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</row>
    <row r="600" spans="1:52" s="37" customFormat="1">
      <c r="A600" s="22"/>
      <c r="B600" s="15"/>
      <c r="C600" s="15"/>
      <c r="D600" s="17">
        <v>41113</v>
      </c>
      <c r="E600" s="12">
        <v>-490.5</v>
      </c>
      <c r="F600" s="12"/>
      <c r="G600" s="17">
        <v>41129</v>
      </c>
      <c r="H600" s="12">
        <v>-485.94</v>
      </c>
      <c r="I600" s="12"/>
      <c r="J600" s="17">
        <v>41174</v>
      </c>
      <c r="K600" s="20">
        <f>23-511.08</f>
        <v>-488.08</v>
      </c>
      <c r="L600" s="26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</row>
    <row r="601" spans="1:52" s="37" customFormat="1">
      <c r="A601" s="22"/>
      <c r="B601" s="15"/>
      <c r="C601" s="15"/>
      <c r="D601" s="17">
        <v>41114</v>
      </c>
      <c r="E601" s="12">
        <v>-487.42</v>
      </c>
      <c r="F601" s="12"/>
      <c r="G601" s="17">
        <v>41130</v>
      </c>
      <c r="H601" s="12">
        <v>-490.62</v>
      </c>
      <c r="I601" s="12"/>
      <c r="J601" s="17">
        <v>41175</v>
      </c>
      <c r="K601" s="20">
        <f>23-507.59</f>
        <v>-484.59</v>
      </c>
      <c r="L601" s="26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</row>
    <row r="602" spans="1:52" s="37" customFormat="1">
      <c r="A602" s="22"/>
      <c r="B602" s="15"/>
      <c r="C602" s="15"/>
      <c r="D602" s="17">
        <v>41115</v>
      </c>
      <c r="E602" s="12">
        <v>-486.31</v>
      </c>
      <c r="F602" s="12"/>
      <c r="G602" s="17">
        <v>41131</v>
      </c>
      <c r="H602" s="12">
        <v>-488.31</v>
      </c>
      <c r="I602" s="12"/>
      <c r="J602" s="17">
        <v>41176</v>
      </c>
      <c r="K602" s="20">
        <f>23-507.33</f>
        <v>-484.33</v>
      </c>
      <c r="L602" s="26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</row>
    <row r="603" spans="1:52" s="37" customFormat="1">
      <c r="A603" s="22"/>
      <c r="B603" s="15"/>
      <c r="C603" s="15"/>
      <c r="D603" s="17">
        <v>41116</v>
      </c>
      <c r="E603" s="12">
        <v>-484.57</v>
      </c>
      <c r="F603" s="12"/>
      <c r="G603" s="17">
        <v>41132</v>
      </c>
      <c r="H603" s="12">
        <v>-489.55</v>
      </c>
      <c r="I603" s="12"/>
      <c r="J603" s="17">
        <v>41177</v>
      </c>
      <c r="K603" s="20">
        <f>23-507.55</f>
        <v>-484.55</v>
      </c>
      <c r="L603" s="26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</row>
    <row r="604" spans="1:52" s="37" customFormat="1">
      <c r="A604" s="22"/>
      <c r="B604" s="15"/>
      <c r="C604" s="15"/>
      <c r="D604" s="17">
        <v>41117</v>
      </c>
      <c r="E604" s="12">
        <v>-481.63</v>
      </c>
      <c r="F604" s="12"/>
      <c r="G604" s="17">
        <v>41133</v>
      </c>
      <c r="H604" s="12">
        <v>-491.04</v>
      </c>
      <c r="I604" s="12"/>
      <c r="J604" s="17">
        <v>41178</v>
      </c>
      <c r="K604" s="20">
        <f>23-507.01</f>
        <v>-484.01</v>
      </c>
      <c r="L604" s="26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</row>
    <row r="605" spans="1:52" s="37" customFormat="1">
      <c r="A605" s="22"/>
      <c r="B605" s="15"/>
      <c r="C605" s="15"/>
      <c r="D605" s="17">
        <v>41118</v>
      </c>
      <c r="E605" s="12">
        <v>-482.16</v>
      </c>
      <c r="F605" s="12"/>
      <c r="G605" s="17">
        <v>41134</v>
      </c>
      <c r="H605" s="12">
        <v>-491.4</v>
      </c>
      <c r="I605" s="12"/>
      <c r="J605" s="17">
        <v>41179</v>
      </c>
      <c r="K605" s="20">
        <f>23-502.17</f>
        <v>-479.17</v>
      </c>
      <c r="L605" s="26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</row>
    <row r="606" spans="1:52" s="37" customFormat="1">
      <c r="A606" s="22"/>
      <c r="B606" s="15"/>
      <c r="C606" s="15"/>
      <c r="D606" s="17">
        <v>41119</v>
      </c>
      <c r="E606" s="12">
        <v>-481.71</v>
      </c>
      <c r="F606" s="12"/>
      <c r="G606" s="17">
        <v>41135</v>
      </c>
      <c r="H606" s="12">
        <v>-487.87</v>
      </c>
      <c r="I606" s="12"/>
      <c r="J606" s="17">
        <v>41180</v>
      </c>
      <c r="K606" s="20">
        <f>23-501.52</f>
        <v>-478.52</v>
      </c>
      <c r="L606" s="26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</row>
    <row r="607" spans="1:52" s="37" customFormat="1">
      <c r="A607" s="22"/>
      <c r="B607" s="15"/>
      <c r="C607" s="15"/>
      <c r="D607" s="17">
        <v>41120</v>
      </c>
      <c r="E607" s="12">
        <v>-481.81</v>
      </c>
      <c r="F607" s="12"/>
      <c r="G607" s="17">
        <v>41136</v>
      </c>
      <c r="H607" s="12">
        <v>-486.61</v>
      </c>
      <c r="I607" s="12"/>
      <c r="J607" s="17">
        <v>41181</v>
      </c>
      <c r="K607" s="20">
        <f>23-502.56</f>
        <v>-479.56</v>
      </c>
      <c r="L607" s="26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</row>
    <row r="608" spans="1:52" s="37" customFormat="1">
      <c r="A608" s="22"/>
      <c r="B608" s="15"/>
      <c r="C608" s="15"/>
      <c r="D608" s="17">
        <v>41121</v>
      </c>
      <c r="E608" s="12">
        <v>-482.13</v>
      </c>
      <c r="F608" s="12"/>
      <c r="G608" s="17">
        <v>41137</v>
      </c>
      <c r="H608" s="12">
        <v>-486.36</v>
      </c>
      <c r="I608" s="12"/>
      <c r="J608" s="17">
        <v>41182</v>
      </c>
      <c r="K608" s="20">
        <f>23-502.32</f>
        <v>-479.32</v>
      </c>
      <c r="L608" s="26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</row>
    <row r="609" spans="1:52" s="37" customFormat="1">
      <c r="A609" s="22"/>
      <c r="B609" s="15"/>
      <c r="C609" s="15"/>
      <c r="D609" s="17">
        <v>41122</v>
      </c>
      <c r="E609" s="12">
        <v>-477.75</v>
      </c>
      <c r="F609" s="12"/>
      <c r="G609" s="17">
        <v>41138</v>
      </c>
      <c r="H609" s="12">
        <v>-488.27</v>
      </c>
      <c r="I609" s="12"/>
      <c r="J609" s="17">
        <v>41183</v>
      </c>
      <c r="K609" s="20">
        <f>23-503.31</f>
        <v>-480.31</v>
      </c>
      <c r="L609" s="26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</row>
    <row r="610" spans="1:52" s="37" customFormat="1">
      <c r="A610" s="22"/>
      <c r="B610" s="15"/>
      <c r="C610" s="15"/>
      <c r="D610" s="17">
        <v>41123</v>
      </c>
      <c r="E610" s="12">
        <v>-480.34</v>
      </c>
      <c r="F610" s="12"/>
      <c r="G610" s="17">
        <v>41139</v>
      </c>
      <c r="H610" s="12">
        <v>-486.76</v>
      </c>
      <c r="I610" s="12"/>
      <c r="J610" s="17">
        <v>41184</v>
      </c>
      <c r="K610" s="20">
        <f>23-505.38</f>
        <v>-482.38</v>
      </c>
      <c r="L610" s="26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</row>
    <row r="611" spans="1:52" s="37" customFormat="1">
      <c r="A611" s="22"/>
      <c r="B611" s="15"/>
      <c r="C611" s="15"/>
      <c r="D611" s="17">
        <v>41124</v>
      </c>
      <c r="E611" s="12">
        <v>-480.37</v>
      </c>
      <c r="F611" s="12"/>
      <c r="G611" s="17">
        <v>41141</v>
      </c>
      <c r="H611" s="12">
        <v>-487.8</v>
      </c>
      <c r="I611" s="12"/>
      <c r="J611" s="17">
        <v>41185</v>
      </c>
      <c r="K611" s="20">
        <f>23-507.01</f>
        <v>-484.01</v>
      </c>
      <c r="L611" s="26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</row>
    <row r="612" spans="1:52" s="37" customFormat="1">
      <c r="A612" s="22"/>
      <c r="B612" s="15"/>
      <c r="C612" s="15"/>
      <c r="D612" s="17">
        <v>41125</v>
      </c>
      <c r="E612" s="12">
        <v>-480.41</v>
      </c>
      <c r="F612" s="12"/>
      <c r="G612" s="17">
        <v>41142</v>
      </c>
      <c r="H612" s="12">
        <v>-488.99</v>
      </c>
      <c r="I612" s="12"/>
      <c r="J612" s="17">
        <v>41186</v>
      </c>
      <c r="K612" s="20">
        <f>23-500.88</f>
        <v>-477.88</v>
      </c>
      <c r="L612" s="26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</row>
    <row r="613" spans="1:52" s="37" customFormat="1">
      <c r="A613" s="22"/>
      <c r="B613" s="15"/>
      <c r="C613" s="15"/>
      <c r="D613" s="17">
        <v>41126</v>
      </c>
      <c r="E613" s="12">
        <v>-484.45</v>
      </c>
      <c r="F613" s="12"/>
      <c r="G613" s="17">
        <v>41143</v>
      </c>
      <c r="H613" s="12">
        <v>-488.24</v>
      </c>
      <c r="I613" s="12"/>
      <c r="J613" s="17">
        <v>41187</v>
      </c>
      <c r="K613" s="20">
        <f>23-497.87</f>
        <v>-474.87</v>
      </c>
      <c r="L613" s="26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</row>
    <row r="614" spans="1:52" s="37" customFormat="1">
      <c r="A614" s="22"/>
      <c r="B614" s="15"/>
      <c r="C614" s="15"/>
      <c r="D614" s="17">
        <v>41127</v>
      </c>
      <c r="E614" s="12">
        <v>-483.29</v>
      </c>
      <c r="F614" s="12"/>
      <c r="G614" s="17">
        <v>41144</v>
      </c>
      <c r="H614" s="12">
        <v>-490.3</v>
      </c>
      <c r="I614" s="12"/>
      <c r="J614" s="17">
        <v>41188</v>
      </c>
      <c r="K614" s="20">
        <f>23-498.36</f>
        <v>-475.36</v>
      </c>
      <c r="L614" s="26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</row>
    <row r="615" spans="1:52" s="37" customFormat="1">
      <c r="A615" s="22"/>
      <c r="B615" s="15"/>
      <c r="C615" s="15"/>
      <c r="D615" s="17">
        <v>41128</v>
      </c>
      <c r="E615" s="12">
        <v>-483.84</v>
      </c>
      <c r="F615" s="12"/>
      <c r="G615" s="17">
        <v>41145</v>
      </c>
      <c r="H615" s="12">
        <v>-487.32</v>
      </c>
      <c r="I615" s="12"/>
      <c r="J615" s="17">
        <v>41189</v>
      </c>
      <c r="K615" s="20">
        <f>23-500.94</f>
        <v>-477.94</v>
      </c>
      <c r="L615" s="26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</row>
    <row r="616" spans="1:52" s="37" customFormat="1">
      <c r="A616" s="22"/>
      <c r="B616" s="15"/>
      <c r="C616" s="15"/>
      <c r="D616" s="17">
        <v>41129</v>
      </c>
      <c r="E616" s="12">
        <v>-489</v>
      </c>
      <c r="F616" s="12"/>
      <c r="G616" s="17">
        <v>41146</v>
      </c>
      <c r="H616" s="12">
        <v>-488.8</v>
      </c>
      <c r="I616" s="12"/>
      <c r="J616" s="17">
        <v>41190</v>
      </c>
      <c r="K616" s="20">
        <f>23-501.9</f>
        <v>-478.9</v>
      </c>
      <c r="L616" s="26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</row>
    <row r="617" spans="1:52" s="37" customFormat="1">
      <c r="A617" s="22"/>
      <c r="B617" s="15"/>
      <c r="C617" s="15"/>
      <c r="D617" s="17">
        <v>41130</v>
      </c>
      <c r="E617" s="12">
        <v>-490.37</v>
      </c>
      <c r="F617" s="12"/>
      <c r="G617" s="17">
        <v>41147</v>
      </c>
      <c r="H617" s="12">
        <v>-488.68</v>
      </c>
      <c r="I617" s="12"/>
      <c r="J617" s="17">
        <v>41191</v>
      </c>
      <c r="K617" s="20">
        <f>23-499.25</f>
        <v>-476.25</v>
      </c>
      <c r="L617" s="26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</row>
    <row r="618" spans="1:52" s="37" customFormat="1">
      <c r="A618" s="22"/>
      <c r="B618" s="15"/>
      <c r="C618" s="15"/>
      <c r="D618" s="17">
        <v>41131</v>
      </c>
      <c r="E618" s="12">
        <v>-490.93</v>
      </c>
      <c r="F618" s="12"/>
      <c r="G618" s="17">
        <v>41148</v>
      </c>
      <c r="H618" s="12">
        <v>-491.8</v>
      </c>
      <c r="I618" s="12"/>
      <c r="J618" s="17">
        <v>41192</v>
      </c>
      <c r="K618" s="20">
        <f>23-501.21</f>
        <v>-478.21</v>
      </c>
      <c r="L618" s="26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</row>
    <row r="619" spans="1:52" s="37" customFormat="1">
      <c r="A619" s="22"/>
      <c r="B619" s="15"/>
      <c r="C619" s="15"/>
      <c r="D619" s="17">
        <v>41132</v>
      </c>
      <c r="E619" s="12">
        <v>-490.03</v>
      </c>
      <c r="F619" s="12"/>
      <c r="G619" s="17">
        <v>41149</v>
      </c>
      <c r="H619" s="12">
        <v>-491.83</v>
      </c>
      <c r="I619" s="12"/>
      <c r="J619" s="17">
        <v>41193</v>
      </c>
      <c r="K619" s="20">
        <f>23-502.55</f>
        <v>-479.55</v>
      </c>
      <c r="L619" s="26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</row>
    <row r="620" spans="1:52" s="37" customFormat="1">
      <c r="A620" s="22"/>
      <c r="B620" s="15"/>
      <c r="C620" s="15"/>
      <c r="D620" s="17">
        <v>41133</v>
      </c>
      <c r="E620" s="12">
        <v>-490.82</v>
      </c>
      <c r="F620" s="12"/>
      <c r="G620" s="17">
        <v>41150</v>
      </c>
      <c r="H620" s="12">
        <v>-493.34</v>
      </c>
      <c r="I620" s="12"/>
      <c r="J620" s="17">
        <v>41194</v>
      </c>
      <c r="K620" s="20">
        <f>23-499.38</f>
        <v>-476.38</v>
      </c>
      <c r="L620" s="26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</row>
    <row r="621" spans="1:52" s="37" customFormat="1">
      <c r="A621" s="22"/>
      <c r="B621" s="15"/>
      <c r="C621" s="15"/>
      <c r="D621" s="17">
        <v>41134</v>
      </c>
      <c r="E621" s="12">
        <v>-491.34</v>
      </c>
      <c r="F621" s="12"/>
      <c r="G621" s="17">
        <v>41151</v>
      </c>
      <c r="H621" s="12">
        <v>-495.18</v>
      </c>
      <c r="I621" s="12"/>
      <c r="J621" s="17">
        <v>41195</v>
      </c>
      <c r="K621" s="20">
        <f>23-500.45</f>
        <v>-477.45</v>
      </c>
      <c r="L621" s="26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</row>
    <row r="622" spans="1:52" s="37" customFormat="1">
      <c r="A622" s="22"/>
      <c r="B622" s="15"/>
      <c r="C622" s="15"/>
      <c r="D622" s="17">
        <v>41135</v>
      </c>
      <c r="E622" s="12">
        <v>-490.99</v>
      </c>
      <c r="F622" s="12"/>
      <c r="G622" s="17">
        <v>41152</v>
      </c>
      <c r="H622" s="12">
        <v>-498.18</v>
      </c>
      <c r="I622" s="12"/>
      <c r="J622" s="17">
        <v>41196</v>
      </c>
      <c r="K622" s="20">
        <f>23-501.41</f>
        <v>-478.41</v>
      </c>
      <c r="L622" s="26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</row>
    <row r="623" spans="1:52" s="37" customFormat="1">
      <c r="A623" s="22"/>
      <c r="B623" s="15"/>
      <c r="C623" s="15"/>
      <c r="D623" s="17">
        <v>41136</v>
      </c>
      <c r="E623" s="12">
        <v>-488.42</v>
      </c>
      <c r="F623" s="12"/>
      <c r="G623" s="17">
        <v>41153</v>
      </c>
      <c r="H623" s="12">
        <v>-500.31</v>
      </c>
      <c r="I623" s="12"/>
      <c r="J623" s="17">
        <v>41197</v>
      </c>
      <c r="K623" s="20">
        <f>23-502.51</f>
        <v>-479.51</v>
      </c>
      <c r="L623" s="26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</row>
    <row r="624" spans="1:52" s="37" customFormat="1">
      <c r="A624" s="22"/>
      <c r="B624" s="15"/>
      <c r="C624" s="15"/>
      <c r="D624" s="17">
        <v>41137</v>
      </c>
      <c r="E624" s="12">
        <v>-491.44</v>
      </c>
      <c r="F624" s="12"/>
      <c r="G624" s="17">
        <v>41154</v>
      </c>
      <c r="H624" s="12">
        <v>-498.38</v>
      </c>
      <c r="I624" s="12"/>
      <c r="J624" s="17">
        <v>41198</v>
      </c>
      <c r="K624" s="20">
        <f>23-502.43</f>
        <v>-479.43</v>
      </c>
      <c r="L624" s="26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</row>
    <row r="625" spans="1:52" s="37" customFormat="1">
      <c r="A625" s="22"/>
      <c r="B625" s="15"/>
      <c r="C625" s="15"/>
      <c r="D625" s="17">
        <v>41138</v>
      </c>
      <c r="E625" s="12">
        <v>-491.89</v>
      </c>
      <c r="F625" s="12"/>
      <c r="G625" s="17">
        <v>41155</v>
      </c>
      <c r="H625" s="12">
        <v>-500.04</v>
      </c>
      <c r="I625" s="12"/>
      <c r="J625" s="17">
        <v>41199</v>
      </c>
      <c r="K625" s="20">
        <f>23-502.29</f>
        <v>-479.29</v>
      </c>
      <c r="L625" s="26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</row>
    <row r="626" spans="1:52" s="37" customFormat="1">
      <c r="A626" s="22"/>
      <c r="B626" s="15"/>
      <c r="C626" s="15"/>
      <c r="D626" s="17">
        <v>41139</v>
      </c>
      <c r="E626" s="12">
        <v>-492.36</v>
      </c>
      <c r="F626" s="12"/>
      <c r="G626" s="17">
        <v>41156</v>
      </c>
      <c r="H626" s="12">
        <v>-496.29</v>
      </c>
      <c r="I626" s="12"/>
      <c r="J626" s="17">
        <v>41200</v>
      </c>
      <c r="K626" s="20">
        <f>23-501.61</f>
        <v>-478.61</v>
      </c>
      <c r="L626" s="26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</row>
    <row r="627" spans="1:52" s="37" customFormat="1">
      <c r="A627" s="22"/>
      <c r="B627" s="15"/>
      <c r="C627" s="15"/>
      <c r="D627" s="17">
        <v>41141</v>
      </c>
      <c r="E627" s="12">
        <v>-495.89</v>
      </c>
      <c r="F627" s="12"/>
      <c r="G627" s="17">
        <v>41157</v>
      </c>
      <c r="H627" s="12">
        <v>-496.73</v>
      </c>
      <c r="I627" s="12"/>
      <c r="J627" s="17">
        <v>41201</v>
      </c>
      <c r="K627" s="20">
        <f>23-503.12</f>
        <v>-480.12</v>
      </c>
      <c r="L627" s="26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</row>
    <row r="628" spans="1:52" s="37" customFormat="1">
      <c r="A628" s="22"/>
      <c r="B628" s="15"/>
      <c r="C628" s="15"/>
      <c r="D628" s="17">
        <v>41142</v>
      </c>
      <c r="E628" s="12">
        <v>-495.96</v>
      </c>
      <c r="F628" s="12"/>
      <c r="G628" s="17">
        <v>41158</v>
      </c>
      <c r="H628" s="12">
        <v>-500.73</v>
      </c>
      <c r="I628" s="12"/>
      <c r="J628" s="17">
        <v>41202</v>
      </c>
      <c r="K628" s="20">
        <f>23-503.16</f>
        <v>-480.16</v>
      </c>
      <c r="L628" s="26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</row>
    <row r="629" spans="1:52" s="37" customFormat="1">
      <c r="A629" s="22"/>
      <c r="B629" s="15"/>
      <c r="C629" s="15"/>
      <c r="D629" s="17">
        <v>41143</v>
      </c>
      <c r="E629" s="12">
        <v>-495.46</v>
      </c>
      <c r="F629" s="12"/>
      <c r="G629" s="17">
        <v>41159</v>
      </c>
      <c r="H629" s="12">
        <v>-497.87</v>
      </c>
      <c r="I629" s="12"/>
      <c r="J629" s="17">
        <v>41203</v>
      </c>
      <c r="K629" s="20">
        <f>23-503.53</f>
        <v>-480.53</v>
      </c>
      <c r="L629" s="26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</row>
    <row r="630" spans="1:52" s="37" customFormat="1">
      <c r="A630" s="22"/>
      <c r="B630" s="15"/>
      <c r="C630" s="15"/>
      <c r="D630" s="17">
        <v>41144</v>
      </c>
      <c r="E630" s="12">
        <v>-496.87</v>
      </c>
      <c r="F630" s="12"/>
      <c r="G630" s="17">
        <v>41160</v>
      </c>
      <c r="H630" s="12">
        <v>-498.78</v>
      </c>
      <c r="I630" s="12"/>
      <c r="J630" s="17">
        <v>41204</v>
      </c>
      <c r="K630" s="20">
        <f>23-506.15</f>
        <v>-483.15</v>
      </c>
      <c r="L630" s="26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</row>
    <row r="631" spans="1:52" s="37" customFormat="1">
      <c r="A631" s="22"/>
      <c r="B631" s="15"/>
      <c r="C631" s="15"/>
      <c r="D631" s="17">
        <v>41145</v>
      </c>
      <c r="E631" s="12">
        <v>-497.04</v>
      </c>
      <c r="F631" s="12"/>
      <c r="G631" s="17">
        <v>41161</v>
      </c>
      <c r="H631" s="12">
        <v>-496.47</v>
      </c>
      <c r="I631" s="12"/>
      <c r="J631" s="17">
        <v>41205</v>
      </c>
      <c r="K631" s="20">
        <f>23-508.12</f>
        <v>-485.12</v>
      </c>
      <c r="L631" s="26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</row>
    <row r="632" spans="1:52" s="37" customFormat="1">
      <c r="A632" s="22"/>
      <c r="B632" s="15"/>
      <c r="C632" s="15"/>
      <c r="D632" s="17">
        <v>41146</v>
      </c>
      <c r="E632" s="12">
        <v>-499.77</v>
      </c>
      <c r="F632" s="12"/>
      <c r="G632" s="17">
        <v>41162</v>
      </c>
      <c r="H632" s="12">
        <v>-495.27</v>
      </c>
      <c r="I632" s="12"/>
      <c r="J632" s="17">
        <v>41206</v>
      </c>
      <c r="K632" s="20">
        <f>23-506.03</f>
        <v>-483.03</v>
      </c>
      <c r="L632" s="26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</row>
    <row r="633" spans="1:52" s="37" customFormat="1">
      <c r="A633" s="22"/>
      <c r="B633" s="15"/>
      <c r="C633" s="15"/>
      <c r="D633" s="17">
        <v>41147</v>
      </c>
      <c r="E633" s="12">
        <v>-499.53</v>
      </c>
      <c r="F633" s="12"/>
      <c r="G633" s="17">
        <v>41163</v>
      </c>
      <c r="H633" s="12">
        <v>-495.72</v>
      </c>
      <c r="I633" s="12"/>
      <c r="J633" s="17">
        <v>41207</v>
      </c>
      <c r="K633" s="20">
        <f>23-502.02</f>
        <v>-479.02</v>
      </c>
      <c r="L633" s="26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</row>
    <row r="634" spans="1:52" s="37" customFormat="1">
      <c r="A634" s="22"/>
      <c r="B634" s="15"/>
      <c r="C634" s="15"/>
      <c r="D634" s="17">
        <v>41148</v>
      </c>
      <c r="E634" s="12">
        <v>-501.52</v>
      </c>
      <c r="F634" s="12"/>
      <c r="G634" s="17">
        <v>41164</v>
      </c>
      <c r="H634" s="12">
        <v>-499.65</v>
      </c>
      <c r="I634" s="12"/>
      <c r="J634" s="17">
        <v>41208</v>
      </c>
      <c r="K634" s="20">
        <f>23-502.66</f>
        <v>-479.66</v>
      </c>
      <c r="L634" s="26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</row>
    <row r="635" spans="1:52" s="37" customFormat="1">
      <c r="A635" s="22"/>
      <c r="B635" s="15"/>
      <c r="C635" s="15"/>
      <c r="D635" s="17">
        <v>41149</v>
      </c>
      <c r="E635" s="12">
        <v>-501.58</v>
      </c>
      <c r="F635" s="12"/>
      <c r="G635" s="17">
        <v>41165</v>
      </c>
      <c r="H635" s="12">
        <v>-497.82</v>
      </c>
      <c r="I635" s="12"/>
      <c r="J635" s="17">
        <v>41209</v>
      </c>
      <c r="K635" s="20">
        <f>23-503.56</f>
        <v>-480.56</v>
      </c>
      <c r="L635" s="26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</row>
    <row r="636" spans="1:52" s="37" customFormat="1">
      <c r="A636" s="22"/>
      <c r="B636" s="15"/>
      <c r="C636" s="15"/>
      <c r="D636" s="17">
        <v>41150</v>
      </c>
      <c r="E636" s="12">
        <v>-502.23</v>
      </c>
      <c r="F636" s="12"/>
      <c r="G636" s="17">
        <v>41166</v>
      </c>
      <c r="H636" s="12">
        <v>-501.35</v>
      </c>
      <c r="I636" s="12"/>
      <c r="J636" s="17">
        <v>41210</v>
      </c>
      <c r="K636" s="20">
        <f>23-503.44</f>
        <v>-480.44</v>
      </c>
      <c r="L636" s="26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</row>
    <row r="637" spans="1:52" s="37" customFormat="1">
      <c r="A637" s="22"/>
      <c r="B637" s="15"/>
      <c r="C637" s="15"/>
      <c r="D637" s="17">
        <v>41151</v>
      </c>
      <c r="E637" s="12">
        <v>-503.68</v>
      </c>
      <c r="F637" s="12"/>
      <c r="G637" s="17">
        <v>41167</v>
      </c>
      <c r="H637" s="12">
        <v>-501.06</v>
      </c>
      <c r="I637" s="12"/>
      <c r="J637" s="17">
        <v>41211</v>
      </c>
      <c r="K637" s="20">
        <f>23-501.48</f>
        <v>-478.48</v>
      </c>
      <c r="L637" s="26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</row>
    <row r="638" spans="1:52" s="37" customFormat="1">
      <c r="A638" s="22"/>
      <c r="B638" s="15"/>
      <c r="C638" s="15"/>
      <c r="D638" s="17">
        <v>41152</v>
      </c>
      <c r="E638" s="12">
        <v>-505.65</v>
      </c>
      <c r="F638" s="12"/>
      <c r="G638" s="17">
        <v>41168</v>
      </c>
      <c r="H638" s="12">
        <v>-503.17</v>
      </c>
      <c r="I638" s="12"/>
      <c r="J638" s="17">
        <v>41212</v>
      </c>
      <c r="K638" s="20">
        <f>23-502.66</f>
        <v>-479.66</v>
      </c>
      <c r="L638" s="26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</row>
    <row r="639" spans="1:52" s="37" customFormat="1">
      <c r="A639" s="22"/>
      <c r="B639" s="15"/>
      <c r="C639" s="15"/>
      <c r="D639" s="17">
        <v>41153</v>
      </c>
      <c r="E639" s="12">
        <v>-505.64</v>
      </c>
      <c r="F639" s="12"/>
      <c r="G639" s="17">
        <v>41169</v>
      </c>
      <c r="H639" s="12">
        <v>-502.03</v>
      </c>
      <c r="I639" s="12"/>
      <c r="J639" s="17">
        <v>41213</v>
      </c>
      <c r="K639" s="20">
        <f>23-503.38</f>
        <v>-480.38</v>
      </c>
      <c r="L639" s="26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</row>
    <row r="640" spans="1:52" s="37" customFormat="1">
      <c r="A640" s="22"/>
      <c r="B640" s="15"/>
      <c r="C640" s="15"/>
      <c r="D640" s="17">
        <v>41154</v>
      </c>
      <c r="E640" s="12">
        <v>-504.79</v>
      </c>
      <c r="F640" s="12"/>
      <c r="G640" s="17">
        <v>41170</v>
      </c>
      <c r="H640" s="12">
        <v>-500.19</v>
      </c>
      <c r="I640" s="12"/>
      <c r="J640" s="17">
        <v>41214</v>
      </c>
      <c r="K640" s="20">
        <f>23-503.21</f>
        <v>-480.21</v>
      </c>
      <c r="L640" s="26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</row>
    <row r="641" spans="1:52" s="37" customFormat="1">
      <c r="A641" s="22"/>
      <c r="B641" s="15"/>
      <c r="C641" s="15"/>
      <c r="D641" s="17">
        <v>41155</v>
      </c>
      <c r="E641" s="12">
        <v>-501.19</v>
      </c>
      <c r="F641" s="12"/>
      <c r="G641" s="17">
        <v>41171</v>
      </c>
      <c r="H641" s="12">
        <v>-490.67</v>
      </c>
      <c r="I641" s="12"/>
      <c r="J641" s="17">
        <v>41215</v>
      </c>
      <c r="K641" s="20">
        <f>23-504.33</f>
        <v>-481.33</v>
      </c>
      <c r="L641" s="26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</row>
    <row r="642" spans="1:52" s="37" customFormat="1">
      <c r="A642" s="22"/>
      <c r="B642" s="15"/>
      <c r="C642" s="15"/>
      <c r="D642" s="17">
        <v>41156</v>
      </c>
      <c r="E642" s="12">
        <v>-500.79</v>
      </c>
      <c r="F642" s="12"/>
      <c r="G642" s="17">
        <v>41172</v>
      </c>
      <c r="H642" s="12">
        <v>-489.17</v>
      </c>
      <c r="I642" s="12"/>
      <c r="J642" s="17">
        <v>41216</v>
      </c>
      <c r="K642" s="20">
        <f>23-506.36</f>
        <v>-483.36</v>
      </c>
      <c r="L642" s="26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</row>
    <row r="643" spans="1:52" s="37" customFormat="1">
      <c r="A643" s="22"/>
      <c r="B643" s="15"/>
      <c r="C643" s="15"/>
      <c r="D643" s="17">
        <v>41157</v>
      </c>
      <c r="E643" s="12">
        <v>-502.43</v>
      </c>
      <c r="F643" s="12"/>
      <c r="G643" s="17">
        <v>41173</v>
      </c>
      <c r="H643" s="12">
        <v>-488.8</v>
      </c>
      <c r="I643" s="12"/>
      <c r="J643" s="17">
        <v>41217</v>
      </c>
      <c r="K643" s="20">
        <f>23-503.18</f>
        <v>-480.18</v>
      </c>
      <c r="L643" s="26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</row>
    <row r="644" spans="1:52" s="37" customFormat="1">
      <c r="A644" s="22"/>
      <c r="B644" s="15"/>
      <c r="C644" s="15"/>
      <c r="D644" s="17">
        <v>41158</v>
      </c>
      <c r="E644" s="12">
        <v>-503.93</v>
      </c>
      <c r="F644" s="12"/>
      <c r="G644" s="17">
        <v>41174</v>
      </c>
      <c r="H644" s="12">
        <v>-485.16</v>
      </c>
      <c r="I644" s="12"/>
      <c r="J644" s="17">
        <v>41218</v>
      </c>
      <c r="K644" s="20">
        <f>23-506.31</f>
        <v>-483.31</v>
      </c>
      <c r="L644" s="26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</row>
    <row r="645" spans="1:52" s="37" customFormat="1">
      <c r="A645" s="22"/>
      <c r="B645" s="15"/>
      <c r="C645" s="15"/>
      <c r="D645" s="17">
        <v>41159</v>
      </c>
      <c r="E645" s="12">
        <v>-504.98</v>
      </c>
      <c r="F645" s="12"/>
      <c r="G645" s="17">
        <v>41175</v>
      </c>
      <c r="H645" s="12">
        <v>-486.07</v>
      </c>
      <c r="I645" s="12"/>
      <c r="J645" s="17">
        <v>41219</v>
      </c>
      <c r="K645" s="20">
        <f>23-507.45</f>
        <v>-484.45</v>
      </c>
      <c r="L645" s="26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</row>
    <row r="646" spans="1:52" s="37" customFormat="1">
      <c r="A646" s="22"/>
      <c r="B646" s="15"/>
      <c r="C646" s="15"/>
      <c r="D646" s="17">
        <v>41160</v>
      </c>
      <c r="E646" s="12">
        <v>-504.77</v>
      </c>
      <c r="F646" s="12"/>
      <c r="G646" s="17">
        <v>41176</v>
      </c>
      <c r="H646" s="12">
        <v>-488.97</v>
      </c>
      <c r="I646" s="12"/>
      <c r="J646" s="17">
        <v>41220</v>
      </c>
      <c r="K646" s="20">
        <f>23-507.85</f>
        <v>-484.85</v>
      </c>
      <c r="L646" s="26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</row>
    <row r="647" spans="1:52" s="37" customFormat="1">
      <c r="A647" s="22"/>
      <c r="B647" s="15"/>
      <c r="C647" s="15"/>
      <c r="D647" s="17">
        <v>41161</v>
      </c>
      <c r="E647" s="12">
        <v>-505.58</v>
      </c>
      <c r="F647" s="12"/>
      <c r="G647" s="17">
        <v>41177</v>
      </c>
      <c r="H647" s="12">
        <v>-488.7</v>
      </c>
      <c r="I647" s="12"/>
      <c r="J647" s="17">
        <v>41221</v>
      </c>
      <c r="K647" s="20">
        <f>23-507.53</f>
        <v>-484.53</v>
      </c>
      <c r="L647" s="26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</row>
    <row r="648" spans="1:52" s="37" customFormat="1">
      <c r="A648" s="22"/>
      <c r="B648" s="15"/>
      <c r="C648" s="15"/>
      <c r="D648" s="17">
        <v>41162</v>
      </c>
      <c r="E648" s="12">
        <v>-509.53999999999996</v>
      </c>
      <c r="F648" s="12"/>
      <c r="G648" s="17">
        <v>41178</v>
      </c>
      <c r="H648" s="12">
        <v>-484.35</v>
      </c>
      <c r="I648" s="12"/>
      <c r="J648" s="17">
        <v>41222</v>
      </c>
      <c r="K648" s="20">
        <f>23-508.76</f>
        <v>-485.76</v>
      </c>
      <c r="L648" s="26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</row>
    <row r="649" spans="1:52" s="37" customFormat="1">
      <c r="A649" s="22"/>
      <c r="B649" s="15"/>
      <c r="C649" s="15"/>
      <c r="D649" s="17">
        <v>41163</v>
      </c>
      <c r="E649" s="12">
        <v>-507.39</v>
      </c>
      <c r="F649" s="12"/>
      <c r="G649" s="17">
        <v>41179</v>
      </c>
      <c r="H649" s="12">
        <v>-483.93</v>
      </c>
      <c r="I649" s="12"/>
      <c r="J649" s="17">
        <v>41223</v>
      </c>
      <c r="K649" s="20">
        <f>23-510.3</f>
        <v>-487.3</v>
      </c>
      <c r="L649" s="26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</row>
    <row r="650" spans="1:52" s="37" customFormat="1">
      <c r="A650" s="22"/>
      <c r="B650" s="15"/>
      <c r="C650" s="15"/>
      <c r="D650" s="17">
        <v>41164</v>
      </c>
      <c r="E650" s="12">
        <v>-512.97</v>
      </c>
      <c r="F650" s="12"/>
      <c r="G650" s="17">
        <v>41180</v>
      </c>
      <c r="H650" s="12">
        <v>-488.15</v>
      </c>
      <c r="I650" s="12"/>
      <c r="J650" s="17">
        <v>41224</v>
      </c>
      <c r="K650" s="20">
        <f>23-509.16</f>
        <v>-486.16</v>
      </c>
      <c r="L650" s="26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</row>
    <row r="651" spans="1:52" s="37" customFormat="1">
      <c r="A651" s="22"/>
      <c r="B651" s="15"/>
      <c r="C651" s="15"/>
      <c r="D651" s="17">
        <v>41165</v>
      </c>
      <c r="E651" s="12">
        <v>-513.41</v>
      </c>
      <c r="F651" s="12"/>
      <c r="G651" s="17">
        <v>41181</v>
      </c>
      <c r="H651" s="12">
        <v>-489.04</v>
      </c>
      <c r="I651" s="12"/>
      <c r="J651" s="17">
        <v>41225</v>
      </c>
      <c r="K651" s="20">
        <f>23-503.96</f>
        <v>-480.96</v>
      </c>
      <c r="L651" s="26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</row>
    <row r="652" spans="1:52" s="37" customFormat="1">
      <c r="A652" s="22"/>
      <c r="B652" s="15"/>
      <c r="C652" s="15"/>
      <c r="D652" s="17">
        <v>41166</v>
      </c>
      <c r="E652" s="12">
        <v>-514.19000000000005</v>
      </c>
      <c r="F652" s="12"/>
      <c r="G652" s="17">
        <v>41182</v>
      </c>
      <c r="H652" s="12">
        <v>-490.01</v>
      </c>
      <c r="I652" s="12"/>
      <c r="J652" s="17">
        <v>41227</v>
      </c>
      <c r="K652" s="20">
        <f>23-505.4</f>
        <v>-482.4</v>
      </c>
      <c r="L652" s="26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</row>
    <row r="653" spans="1:52" s="37" customFormat="1">
      <c r="A653" s="22"/>
      <c r="B653" s="15"/>
      <c r="C653" s="15"/>
      <c r="D653" s="17">
        <v>41167</v>
      </c>
      <c r="E653" s="12">
        <v>-512.08000000000004</v>
      </c>
      <c r="F653" s="12"/>
      <c r="G653" s="17">
        <v>41183</v>
      </c>
      <c r="H653" s="12">
        <v>-491.94</v>
      </c>
      <c r="I653" s="12"/>
      <c r="J653" s="17">
        <v>41228</v>
      </c>
      <c r="K653" s="20">
        <f>23-505.42</f>
        <v>-482.42</v>
      </c>
      <c r="L653" s="26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</row>
    <row r="654" spans="1:52" s="37" customFormat="1">
      <c r="A654" s="22"/>
      <c r="B654" s="15"/>
      <c r="C654" s="15"/>
      <c r="D654" s="17">
        <v>41168</v>
      </c>
      <c r="E654" s="12">
        <v>-514.24</v>
      </c>
      <c r="F654" s="12"/>
      <c r="G654" s="17">
        <v>41184</v>
      </c>
      <c r="H654" s="12">
        <v>-492.51</v>
      </c>
      <c r="I654" s="12"/>
      <c r="J654" s="17">
        <v>41229</v>
      </c>
      <c r="K654" s="20">
        <f>23-506.47</f>
        <v>-483.47</v>
      </c>
      <c r="L654" s="26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</row>
    <row r="655" spans="1:52" s="37" customFormat="1">
      <c r="A655" s="22"/>
      <c r="B655" s="15"/>
      <c r="C655" s="15"/>
      <c r="D655" s="17">
        <v>41169</v>
      </c>
      <c r="E655" s="12">
        <v>-515.59</v>
      </c>
      <c r="F655" s="12"/>
      <c r="G655" s="17">
        <v>41185</v>
      </c>
      <c r="H655" s="12">
        <v>-493.89</v>
      </c>
      <c r="I655" s="12"/>
      <c r="J655" s="17">
        <v>41230</v>
      </c>
      <c r="K655" s="20">
        <f>23-504.82</f>
        <v>-481.82</v>
      </c>
      <c r="L655" s="26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</row>
    <row r="656" spans="1:52" s="37" customFormat="1">
      <c r="A656" s="22"/>
      <c r="B656" s="15"/>
      <c r="C656" s="15"/>
      <c r="D656" s="17">
        <v>41170</v>
      </c>
      <c r="E656" s="12">
        <v>-516.61</v>
      </c>
      <c r="F656" s="12"/>
      <c r="G656" s="17">
        <v>41186</v>
      </c>
      <c r="H656" s="12">
        <v>-492.74</v>
      </c>
      <c r="I656" s="12"/>
      <c r="J656" s="17">
        <v>41231</v>
      </c>
      <c r="K656" s="20">
        <f>23-503.68</f>
        <v>-480.68</v>
      </c>
      <c r="L656" s="26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</row>
    <row r="657" spans="1:52" s="37" customFormat="1">
      <c r="A657" s="22"/>
      <c r="B657" s="15"/>
      <c r="C657" s="15"/>
      <c r="D657" s="17">
        <v>41171</v>
      </c>
      <c r="E657" s="12">
        <v>-518.41</v>
      </c>
      <c r="F657" s="12"/>
      <c r="G657" s="17">
        <v>41187</v>
      </c>
      <c r="H657" s="12">
        <v>-495.13</v>
      </c>
      <c r="I657" s="12"/>
      <c r="J657" s="17">
        <v>41232</v>
      </c>
      <c r="K657" s="20">
        <f>23-503.2</f>
        <v>-480.2</v>
      </c>
      <c r="L657" s="26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</row>
    <row r="658" spans="1:52" s="37" customFormat="1">
      <c r="A658" s="22"/>
      <c r="B658" s="15"/>
      <c r="C658" s="15"/>
      <c r="D658" s="17">
        <v>41172</v>
      </c>
      <c r="E658" s="12">
        <v>-519.96</v>
      </c>
      <c r="F658" s="12"/>
      <c r="G658" s="17">
        <v>41188</v>
      </c>
      <c r="H658" s="12">
        <v>-497.05</v>
      </c>
      <c r="I658" s="12"/>
      <c r="J658" s="17">
        <v>41233</v>
      </c>
      <c r="K658" s="20">
        <f>23-502.13</f>
        <v>-479.13</v>
      </c>
      <c r="L658" s="26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</row>
    <row r="659" spans="1:52" s="37" customFormat="1">
      <c r="A659" s="22"/>
      <c r="B659" s="15"/>
      <c r="C659" s="15"/>
      <c r="D659" s="17">
        <v>41173</v>
      </c>
      <c r="E659" s="12">
        <v>-519.16</v>
      </c>
      <c r="F659" s="12"/>
      <c r="G659" s="17">
        <v>41189</v>
      </c>
      <c r="H659" s="12">
        <v>-495.94</v>
      </c>
      <c r="I659" s="12"/>
      <c r="J659" s="17">
        <v>41234</v>
      </c>
      <c r="K659" s="20">
        <f>23-503.86</f>
        <v>-480.86</v>
      </c>
      <c r="L659" s="26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</row>
    <row r="660" spans="1:52" s="37" customFormat="1">
      <c r="A660" s="22"/>
      <c r="B660" s="15"/>
      <c r="C660" s="15"/>
      <c r="D660" s="17">
        <v>41174</v>
      </c>
      <c r="E660" s="12">
        <v>-514.9</v>
      </c>
      <c r="F660" s="12"/>
      <c r="G660" s="17">
        <v>41190</v>
      </c>
      <c r="H660" s="12">
        <v>-496.11</v>
      </c>
      <c r="I660" s="12"/>
      <c r="J660" s="17">
        <v>41235</v>
      </c>
      <c r="K660" s="20">
        <f>23-502.91</f>
        <v>-479.91</v>
      </c>
      <c r="L660" s="26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</row>
    <row r="661" spans="1:52" s="37" customFormat="1">
      <c r="A661" s="22"/>
      <c r="B661" s="15"/>
      <c r="C661" s="15"/>
      <c r="D661" s="17">
        <v>41175</v>
      </c>
      <c r="E661" s="12">
        <v>-514.27</v>
      </c>
      <c r="F661" s="12"/>
      <c r="G661" s="17">
        <v>41191</v>
      </c>
      <c r="H661" s="12">
        <v>-497.78</v>
      </c>
      <c r="I661" s="12"/>
      <c r="J661" s="17">
        <v>41236</v>
      </c>
      <c r="K661" s="20">
        <f>23-505.44</f>
        <v>-482.44</v>
      </c>
      <c r="L661" s="26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</row>
    <row r="662" spans="1:52" s="37" customFormat="1">
      <c r="A662" s="22"/>
      <c r="B662" s="15"/>
      <c r="C662" s="15"/>
      <c r="D662" s="17">
        <v>41176</v>
      </c>
      <c r="E662" s="12">
        <v>-514.25</v>
      </c>
      <c r="F662" s="12"/>
      <c r="G662" s="17">
        <v>41192</v>
      </c>
      <c r="H662" s="12">
        <v>-499.34</v>
      </c>
      <c r="I662" s="12"/>
      <c r="J662" s="17">
        <v>41237</v>
      </c>
      <c r="K662" s="20">
        <f>23-506.37</f>
        <v>-483.37</v>
      </c>
      <c r="L662" s="26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</row>
    <row r="663" spans="1:52" s="37" customFormat="1">
      <c r="A663" s="22"/>
      <c r="B663" s="15"/>
      <c r="C663" s="15"/>
      <c r="D663" s="17">
        <v>41177</v>
      </c>
      <c r="E663" s="12">
        <v>-514.91</v>
      </c>
      <c r="F663" s="12"/>
      <c r="G663" s="17">
        <v>41193</v>
      </c>
      <c r="H663" s="12">
        <v>-497.03</v>
      </c>
      <c r="I663" s="12"/>
      <c r="J663" s="17">
        <v>41238</v>
      </c>
      <c r="K663" s="20">
        <f>23-506.21</f>
        <v>-483.21</v>
      </c>
      <c r="L663" s="26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</row>
    <row r="664" spans="1:52" s="37" customFormat="1">
      <c r="A664" s="22"/>
      <c r="B664" s="15"/>
      <c r="C664" s="15"/>
      <c r="D664" s="17">
        <v>41178</v>
      </c>
      <c r="E664" s="12">
        <v>-513.67999999999995</v>
      </c>
      <c r="F664" s="12"/>
      <c r="G664" s="17">
        <v>41194</v>
      </c>
      <c r="H664" s="12">
        <v>-498.28</v>
      </c>
      <c r="I664" s="12"/>
      <c r="J664" s="17">
        <v>41239</v>
      </c>
      <c r="K664" s="20">
        <f>23-506.32</f>
        <v>-483.32</v>
      </c>
      <c r="L664" s="26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</row>
    <row r="665" spans="1:52" s="37" customFormat="1">
      <c r="A665" s="22"/>
      <c r="B665" s="15"/>
      <c r="C665" s="15"/>
      <c r="D665" s="17">
        <v>41179</v>
      </c>
      <c r="E665" s="12">
        <v>-514.32000000000005</v>
      </c>
      <c r="F665" s="12"/>
      <c r="G665" s="17">
        <v>41195</v>
      </c>
      <c r="H665" s="12">
        <v>-495.49</v>
      </c>
      <c r="I665" s="12"/>
      <c r="J665" s="17">
        <v>41240</v>
      </c>
      <c r="K665" s="20">
        <f>23-506.24</f>
        <v>-483.24</v>
      </c>
      <c r="L665" s="26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</row>
    <row r="666" spans="1:52" s="37" customFormat="1">
      <c r="A666" s="22"/>
      <c r="B666" s="15"/>
      <c r="C666" s="15"/>
      <c r="D666" s="17">
        <v>41180</v>
      </c>
      <c r="E666" s="12">
        <v>-514.92999999999995</v>
      </c>
      <c r="F666" s="12"/>
      <c r="G666" s="17">
        <v>41196</v>
      </c>
      <c r="H666" s="12">
        <v>-492.98</v>
      </c>
      <c r="I666" s="12"/>
      <c r="J666" s="17">
        <v>41241</v>
      </c>
      <c r="K666" s="20">
        <f>23-506.44</f>
        <v>-483.44</v>
      </c>
      <c r="L666" s="26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</row>
    <row r="667" spans="1:52" s="37" customFormat="1">
      <c r="A667" s="22"/>
      <c r="B667" s="15"/>
      <c r="C667" s="15"/>
      <c r="D667" s="17">
        <v>41181</v>
      </c>
      <c r="E667" s="12">
        <v>-513.49</v>
      </c>
      <c r="F667" s="12"/>
      <c r="G667" s="17">
        <v>41197</v>
      </c>
      <c r="H667" s="12">
        <v>-494.01</v>
      </c>
      <c r="I667" s="12"/>
      <c r="J667" s="17">
        <v>41242</v>
      </c>
      <c r="K667" s="20">
        <f>23-506.32</f>
        <v>-483.32</v>
      </c>
      <c r="L667" s="26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</row>
    <row r="668" spans="1:52" s="37" customFormat="1">
      <c r="A668" s="22"/>
      <c r="B668" s="15"/>
      <c r="C668" s="15"/>
      <c r="D668" s="17">
        <v>41182</v>
      </c>
      <c r="E668" s="12">
        <v>-513.95000000000005</v>
      </c>
      <c r="F668" s="12"/>
      <c r="G668" s="17">
        <v>41198</v>
      </c>
      <c r="H668" s="12">
        <v>-495.28</v>
      </c>
      <c r="I668" s="12"/>
      <c r="J668" s="17">
        <v>41243</v>
      </c>
      <c r="K668" s="20">
        <f>23-506.44</f>
        <v>-483.44</v>
      </c>
      <c r="L668" s="26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</row>
    <row r="669" spans="1:52" s="37" customFormat="1">
      <c r="A669" s="22"/>
      <c r="B669" s="15"/>
      <c r="C669" s="15"/>
      <c r="D669" s="17">
        <v>41183</v>
      </c>
      <c r="E669" s="12">
        <v>-513.95000000000005</v>
      </c>
      <c r="F669" s="12"/>
      <c r="G669" s="17">
        <v>41199</v>
      </c>
      <c r="H669" s="12">
        <v>-495.24</v>
      </c>
      <c r="I669" s="12"/>
      <c r="J669" s="17">
        <v>41244</v>
      </c>
      <c r="K669" s="20">
        <f>23-507.53</f>
        <v>-484.53</v>
      </c>
      <c r="L669" s="26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</row>
    <row r="670" spans="1:52" s="37" customFormat="1">
      <c r="A670" s="22"/>
      <c r="B670" s="15"/>
      <c r="C670" s="15"/>
      <c r="D670" s="17">
        <v>41184</v>
      </c>
      <c r="E670" s="12">
        <v>-514.78</v>
      </c>
      <c r="F670" s="12"/>
      <c r="G670" s="17">
        <v>41200</v>
      </c>
      <c r="H670" s="12">
        <v>-496.22</v>
      </c>
      <c r="I670" s="12"/>
      <c r="J670" s="17">
        <v>41245</v>
      </c>
      <c r="K670" s="20">
        <f>23-503.81</f>
        <v>-480.81</v>
      </c>
      <c r="L670" s="26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</row>
    <row r="671" spans="1:52" s="37" customFormat="1">
      <c r="A671" s="22"/>
      <c r="B671" s="15"/>
      <c r="C671" s="15"/>
      <c r="D671" s="17">
        <v>41185</v>
      </c>
      <c r="E671" s="12">
        <v>-512.88</v>
      </c>
      <c r="F671" s="12"/>
      <c r="G671" s="17">
        <v>41201</v>
      </c>
      <c r="H671" s="12">
        <v>-495.91</v>
      </c>
      <c r="I671" s="12"/>
      <c r="J671" s="17">
        <v>41246</v>
      </c>
      <c r="K671" s="20">
        <f>23-505.79</f>
        <v>-482.79</v>
      </c>
      <c r="L671" s="26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</row>
    <row r="672" spans="1:52" s="37" customFormat="1">
      <c r="A672" s="22"/>
      <c r="B672" s="15"/>
      <c r="C672" s="15"/>
      <c r="D672" s="17">
        <v>41186</v>
      </c>
      <c r="E672" s="12">
        <v>-513.45000000000005</v>
      </c>
      <c r="F672" s="12"/>
      <c r="G672" s="17">
        <v>41202</v>
      </c>
      <c r="H672" s="12">
        <v>-495.75</v>
      </c>
      <c r="I672" s="12"/>
      <c r="J672" s="17">
        <v>41247</v>
      </c>
      <c r="K672" s="20">
        <f>23-506.17</f>
        <v>-483.17</v>
      </c>
      <c r="L672" s="26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</row>
    <row r="673" spans="1:52" s="37" customFormat="1">
      <c r="A673" s="22"/>
      <c r="B673" s="15"/>
      <c r="C673" s="15"/>
      <c r="D673" s="17">
        <v>41187</v>
      </c>
      <c r="E673" s="12">
        <v>-516.62</v>
      </c>
      <c r="F673" s="12"/>
      <c r="G673" s="17">
        <v>41203</v>
      </c>
      <c r="H673" s="12">
        <v>-496.23</v>
      </c>
      <c r="I673" s="12"/>
      <c r="J673" s="17">
        <v>41248</v>
      </c>
      <c r="K673" s="20">
        <f>23-506.27</f>
        <v>-483.27</v>
      </c>
      <c r="L673" s="26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</row>
    <row r="674" spans="1:52" s="37" customFormat="1">
      <c r="A674" s="22"/>
      <c r="B674" s="15"/>
      <c r="C674" s="15"/>
      <c r="D674" s="17">
        <v>41188</v>
      </c>
      <c r="E674" s="12">
        <v>-518.13</v>
      </c>
      <c r="F674" s="12"/>
      <c r="G674" s="17">
        <v>41204</v>
      </c>
      <c r="H674" s="12">
        <v>-497.58</v>
      </c>
      <c r="I674" s="12"/>
      <c r="J674" s="17">
        <v>41249</v>
      </c>
      <c r="K674" s="20">
        <f>23-505.48</f>
        <v>-482.48</v>
      </c>
      <c r="L674" s="26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</row>
    <row r="675" spans="1:52" s="37" customFormat="1">
      <c r="A675" s="22"/>
      <c r="B675" s="15"/>
      <c r="C675" s="15"/>
      <c r="D675" s="17">
        <v>41189</v>
      </c>
      <c r="E675" s="12">
        <v>-518.55999999999995</v>
      </c>
      <c r="F675" s="12"/>
      <c r="G675" s="17">
        <v>41205</v>
      </c>
      <c r="H675" s="12">
        <v>-498.17</v>
      </c>
      <c r="I675" s="12"/>
      <c r="J675" s="17">
        <v>41250</v>
      </c>
      <c r="K675" s="20">
        <f>23-501.34</f>
        <v>-478.34</v>
      </c>
      <c r="L675" s="26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</row>
    <row r="676" spans="1:52" s="37" customFormat="1">
      <c r="A676" s="22"/>
      <c r="B676" s="15"/>
      <c r="C676" s="15"/>
      <c r="D676" s="17">
        <v>41190</v>
      </c>
      <c r="E676" s="12">
        <v>-516.77</v>
      </c>
      <c r="F676" s="12"/>
      <c r="G676" s="17">
        <v>41206</v>
      </c>
      <c r="H676" s="12">
        <v>-495.07</v>
      </c>
      <c r="I676" s="12"/>
      <c r="J676" s="17">
        <v>41251</v>
      </c>
      <c r="K676" s="20">
        <f>23-503.81</f>
        <v>-480.81</v>
      </c>
      <c r="L676" s="26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</row>
    <row r="677" spans="1:52" s="37" customFormat="1">
      <c r="A677" s="22"/>
      <c r="B677" s="15"/>
      <c r="C677" s="15"/>
      <c r="D677" s="17">
        <v>41191</v>
      </c>
      <c r="E677" s="12">
        <v>-517.07000000000005</v>
      </c>
      <c r="F677" s="12"/>
      <c r="G677" s="17">
        <v>41207</v>
      </c>
      <c r="H677" s="12">
        <v>-493.27</v>
      </c>
      <c r="I677" s="12"/>
      <c r="J677" s="17">
        <v>41252</v>
      </c>
      <c r="K677" s="20">
        <f>23-503.89</f>
        <v>-480.89</v>
      </c>
      <c r="L677" s="26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</row>
    <row r="678" spans="1:52" s="37" customFormat="1">
      <c r="A678" s="22"/>
      <c r="B678" s="15"/>
      <c r="C678" s="15"/>
      <c r="D678" s="17">
        <v>41192</v>
      </c>
      <c r="E678" s="12">
        <v>-513.78</v>
      </c>
      <c r="F678" s="12"/>
      <c r="G678" s="17">
        <v>41208</v>
      </c>
      <c r="H678" s="12">
        <v>-495.23</v>
      </c>
      <c r="I678" s="12"/>
      <c r="J678" s="17">
        <v>41253</v>
      </c>
      <c r="K678" s="20">
        <f>23-502.12</f>
        <v>-479.12</v>
      </c>
      <c r="L678" s="26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</row>
    <row r="679" spans="1:52" s="37" customFormat="1">
      <c r="A679" s="22"/>
      <c r="B679" s="15"/>
      <c r="C679" s="15"/>
      <c r="D679" s="17">
        <v>41193</v>
      </c>
      <c r="E679" s="12">
        <v>-513.59</v>
      </c>
      <c r="F679" s="12"/>
      <c r="G679" s="17">
        <v>41209</v>
      </c>
      <c r="H679" s="12">
        <v>-497.58</v>
      </c>
      <c r="I679" s="12"/>
      <c r="J679" s="17">
        <v>41254</v>
      </c>
      <c r="K679" s="20">
        <f>23-502.95</f>
        <v>-479.95</v>
      </c>
      <c r="L679" s="26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</row>
    <row r="680" spans="1:52" s="37" customFormat="1">
      <c r="A680" s="22"/>
      <c r="B680" s="15"/>
      <c r="C680" s="15"/>
      <c r="D680" s="17">
        <v>41194</v>
      </c>
      <c r="E680" s="12">
        <v>-510.48</v>
      </c>
      <c r="F680" s="12"/>
      <c r="G680" s="17">
        <v>41210</v>
      </c>
      <c r="H680" s="12">
        <v>-495.38</v>
      </c>
      <c r="I680" s="12"/>
      <c r="J680" s="17">
        <v>41255</v>
      </c>
      <c r="K680" s="20">
        <f>23-506.24</f>
        <v>-483.24</v>
      </c>
      <c r="L680" s="26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</row>
    <row r="681" spans="1:52" s="37" customFormat="1">
      <c r="A681" s="22"/>
      <c r="B681" s="15"/>
      <c r="C681" s="15"/>
      <c r="D681" s="17">
        <v>41195</v>
      </c>
      <c r="E681" s="12">
        <v>-512.74</v>
      </c>
      <c r="F681" s="12"/>
      <c r="G681" s="17">
        <v>41211</v>
      </c>
      <c r="H681" s="12">
        <v>-497.9</v>
      </c>
      <c r="I681" s="12"/>
      <c r="J681" s="17">
        <v>41256</v>
      </c>
      <c r="K681" s="20">
        <f>23-501.39</f>
        <v>-478.39</v>
      </c>
      <c r="L681" s="26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</row>
    <row r="682" spans="1:52" s="37" customFormat="1">
      <c r="A682" s="22"/>
      <c r="B682" s="15"/>
      <c r="C682" s="15"/>
      <c r="D682" s="17">
        <v>41196</v>
      </c>
      <c r="E682" s="12">
        <v>-510.52</v>
      </c>
      <c r="F682" s="12"/>
      <c r="G682" s="17">
        <v>41212</v>
      </c>
      <c r="H682" s="12">
        <v>-498.37</v>
      </c>
      <c r="I682" s="12"/>
      <c r="J682" s="17">
        <v>41257</v>
      </c>
      <c r="K682" s="20">
        <f>23-500.24</f>
        <v>-477.24</v>
      </c>
      <c r="L682" s="26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</row>
    <row r="683" spans="1:52" s="37" customFormat="1">
      <c r="A683" s="22"/>
      <c r="B683" s="15"/>
      <c r="C683" s="15"/>
      <c r="D683" s="17">
        <v>41197</v>
      </c>
      <c r="E683" s="12">
        <v>-512.74</v>
      </c>
      <c r="F683" s="12"/>
      <c r="G683" s="17">
        <v>41213</v>
      </c>
      <c r="H683" s="12">
        <v>-497.47</v>
      </c>
      <c r="I683" s="12"/>
      <c r="J683" s="17">
        <v>41258</v>
      </c>
      <c r="K683" s="20">
        <f>23-502.67</f>
        <v>-479.67</v>
      </c>
      <c r="L683" s="26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</row>
    <row r="684" spans="1:52" s="37" customFormat="1">
      <c r="A684" s="22"/>
      <c r="B684" s="15"/>
      <c r="C684" s="15"/>
      <c r="D684" s="17">
        <v>41198</v>
      </c>
      <c r="E684" s="12">
        <v>-509.88</v>
      </c>
      <c r="F684" s="12"/>
      <c r="G684" s="17">
        <v>41214</v>
      </c>
      <c r="H684" s="12">
        <v>-497.68</v>
      </c>
      <c r="I684" s="12"/>
      <c r="J684" s="17">
        <v>41259</v>
      </c>
      <c r="K684" s="20">
        <f>23-502.8</f>
        <v>-479.8</v>
      </c>
      <c r="L684" s="26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</row>
    <row r="685" spans="1:52" s="37" customFormat="1">
      <c r="A685" s="22"/>
      <c r="B685" s="15"/>
      <c r="C685" s="15"/>
      <c r="D685" s="17">
        <v>41199</v>
      </c>
      <c r="E685" s="12">
        <v>-511.51</v>
      </c>
      <c r="F685" s="12"/>
      <c r="G685" s="17">
        <v>41215</v>
      </c>
      <c r="H685" s="12">
        <v>-497.83</v>
      </c>
      <c r="I685" s="12"/>
      <c r="J685" s="17">
        <v>41260</v>
      </c>
      <c r="K685" s="20">
        <f>23-506.03</f>
        <v>-483.03</v>
      </c>
      <c r="L685" s="26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</row>
    <row r="686" spans="1:52" s="37" customFormat="1">
      <c r="A686" s="22"/>
      <c r="B686" s="15"/>
      <c r="C686" s="15"/>
      <c r="D686" s="17">
        <v>41200</v>
      </c>
      <c r="E686" s="12">
        <v>-512.41999999999996</v>
      </c>
      <c r="F686" s="12"/>
      <c r="G686" s="17">
        <v>41216</v>
      </c>
      <c r="H686" s="12">
        <v>-498.77</v>
      </c>
      <c r="I686" s="12"/>
      <c r="J686" s="17">
        <v>41261</v>
      </c>
      <c r="K686" s="20">
        <f>23-504.47</f>
        <v>-481.47</v>
      </c>
      <c r="L686" s="26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</row>
    <row r="687" spans="1:52" s="37" customFormat="1">
      <c r="A687" s="22"/>
      <c r="B687" s="15"/>
      <c r="C687" s="15"/>
      <c r="D687" s="17">
        <v>41201</v>
      </c>
      <c r="E687" s="12">
        <v>-514.02</v>
      </c>
      <c r="F687" s="12"/>
      <c r="G687" s="17">
        <v>41217</v>
      </c>
      <c r="H687" s="12">
        <v>-498.57</v>
      </c>
      <c r="I687" s="12"/>
      <c r="J687" s="17">
        <v>41262</v>
      </c>
      <c r="K687" s="20">
        <f>23-506.62</f>
        <v>-483.62</v>
      </c>
      <c r="L687" s="26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</row>
    <row r="688" spans="1:52" s="37" customFormat="1">
      <c r="A688" s="22"/>
      <c r="B688" s="15"/>
      <c r="C688" s="15"/>
      <c r="D688" s="17">
        <v>41202</v>
      </c>
      <c r="E688" s="12">
        <v>-516.62</v>
      </c>
      <c r="F688" s="12"/>
      <c r="G688" s="17">
        <v>41218</v>
      </c>
      <c r="H688" s="12">
        <v>-495.14</v>
      </c>
      <c r="I688" s="12"/>
      <c r="J688" s="17">
        <v>41263</v>
      </c>
      <c r="K688" s="20">
        <f>23-506.44</f>
        <v>-483.44</v>
      </c>
      <c r="L688" s="26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</row>
    <row r="689" spans="1:52" s="37" customFormat="1">
      <c r="A689" s="22"/>
      <c r="B689" s="15"/>
      <c r="C689" s="15"/>
      <c r="D689" s="17">
        <v>41203</v>
      </c>
      <c r="E689" s="12">
        <v>-519.96</v>
      </c>
      <c r="F689" s="12"/>
      <c r="G689" s="17">
        <v>41219</v>
      </c>
      <c r="H689" s="12">
        <v>-496.11</v>
      </c>
      <c r="I689" s="12"/>
      <c r="J689" s="17">
        <v>41264</v>
      </c>
      <c r="K689" s="20">
        <f>23-502.23</f>
        <v>-479.23</v>
      </c>
      <c r="L689" s="26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</row>
    <row r="690" spans="1:52" s="37" customFormat="1">
      <c r="A690" s="22"/>
      <c r="B690" s="15"/>
      <c r="C690" s="15"/>
      <c r="D690" s="17">
        <v>41204</v>
      </c>
      <c r="E690" s="12">
        <v>-514.4</v>
      </c>
      <c r="F690" s="12"/>
      <c r="G690" s="17">
        <v>41220</v>
      </c>
      <c r="H690" s="12">
        <v>-498.04</v>
      </c>
      <c r="I690" s="12"/>
      <c r="J690" s="17">
        <v>41265</v>
      </c>
      <c r="K690" s="20">
        <f>23-503.36</f>
        <v>-480.36</v>
      </c>
      <c r="L690" s="26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</row>
    <row r="691" spans="1:52" s="37" customFormat="1">
      <c r="A691" s="22"/>
      <c r="B691" s="15"/>
      <c r="C691" s="15"/>
      <c r="D691" s="17">
        <v>41205</v>
      </c>
      <c r="E691" s="12">
        <v>-512.94000000000005</v>
      </c>
      <c r="F691" s="12"/>
      <c r="G691" s="17">
        <v>41221</v>
      </c>
      <c r="H691" s="12">
        <v>-497</v>
      </c>
      <c r="I691" s="12"/>
      <c r="J691" s="17">
        <v>41266</v>
      </c>
      <c r="K691" s="20">
        <f>23-503.97</f>
        <v>-480.97</v>
      </c>
      <c r="L691" s="26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</row>
    <row r="692" spans="1:52" s="37" customFormat="1">
      <c r="A692" s="22"/>
      <c r="B692" s="15"/>
      <c r="C692" s="15"/>
      <c r="D692" s="17">
        <v>41206</v>
      </c>
      <c r="E692" s="12">
        <v>-512.05999999999995</v>
      </c>
      <c r="F692" s="12"/>
      <c r="G692" s="17">
        <v>41222</v>
      </c>
      <c r="H692" s="12">
        <v>-494.4</v>
      </c>
      <c r="I692" s="12"/>
      <c r="J692" s="17">
        <v>41267</v>
      </c>
      <c r="K692" s="20">
        <f>23-506.16</f>
        <v>-483.16</v>
      </c>
      <c r="L692" s="26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</row>
    <row r="693" spans="1:52" s="37" customFormat="1">
      <c r="A693" s="22"/>
      <c r="B693" s="15"/>
      <c r="C693" s="15"/>
      <c r="D693" s="17">
        <v>41207</v>
      </c>
      <c r="E693" s="12">
        <v>-510.70000000000005</v>
      </c>
      <c r="F693" s="12"/>
      <c r="G693" s="17">
        <v>41223</v>
      </c>
      <c r="H693" s="12">
        <v>-495.57</v>
      </c>
      <c r="I693" s="12"/>
      <c r="J693" s="17">
        <v>41269</v>
      </c>
      <c r="K693" s="20">
        <f>23-502.86</f>
        <v>-479.86</v>
      </c>
      <c r="L693" s="26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</row>
    <row r="694" spans="1:52" s="37" customFormat="1">
      <c r="A694" s="22"/>
      <c r="B694" s="15"/>
      <c r="C694" s="15"/>
      <c r="D694" s="17">
        <v>41208</v>
      </c>
      <c r="E694" s="12">
        <v>-512.17999999999995</v>
      </c>
      <c r="F694" s="12"/>
      <c r="G694" s="17">
        <v>41224</v>
      </c>
      <c r="H694" s="12">
        <v>-497.48</v>
      </c>
      <c r="I694" s="12"/>
      <c r="J694" s="17">
        <v>41270</v>
      </c>
      <c r="K694" s="20">
        <f>23-501.98</f>
        <v>-478.98</v>
      </c>
      <c r="L694" s="26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</row>
    <row r="695" spans="1:52" s="37" customFormat="1">
      <c r="A695" s="22"/>
      <c r="B695" s="15"/>
      <c r="C695" s="15"/>
      <c r="D695" s="17">
        <v>41209</v>
      </c>
      <c r="E695" s="12">
        <v>-509.69000000000005</v>
      </c>
      <c r="F695" s="12"/>
      <c r="G695" s="17">
        <v>41225</v>
      </c>
      <c r="H695" s="12">
        <v>-499.8</v>
      </c>
      <c r="I695" s="12"/>
      <c r="J695" s="17">
        <v>41271</v>
      </c>
      <c r="K695" s="20">
        <f>23-499.19</f>
        <v>-476.19</v>
      </c>
      <c r="L695" s="26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</row>
    <row r="696" spans="1:52" s="37" customFormat="1">
      <c r="A696" s="22"/>
      <c r="B696" s="15"/>
      <c r="C696" s="15"/>
      <c r="D696" s="17">
        <v>41210</v>
      </c>
      <c r="E696" s="12">
        <v>-507.8</v>
      </c>
      <c r="F696" s="12"/>
      <c r="G696" s="17">
        <v>41227</v>
      </c>
      <c r="H696" s="12">
        <v>-493.04</v>
      </c>
      <c r="I696" s="12"/>
      <c r="J696" s="17">
        <v>41272</v>
      </c>
      <c r="K696" s="20">
        <f>23-500.29</f>
        <v>-477.29</v>
      </c>
      <c r="L696" s="26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</row>
    <row r="697" spans="1:52" s="37" customFormat="1">
      <c r="A697" s="22"/>
      <c r="B697" s="15"/>
      <c r="C697" s="15"/>
      <c r="D697" s="17">
        <v>41211</v>
      </c>
      <c r="E697" s="12">
        <v>-508.65</v>
      </c>
      <c r="F697" s="12"/>
      <c r="G697" s="17">
        <v>41228</v>
      </c>
      <c r="H697" s="12">
        <v>-494.08</v>
      </c>
      <c r="I697" s="12"/>
      <c r="J697" s="17">
        <v>41273</v>
      </c>
      <c r="K697" s="20">
        <f>23-501.3</f>
        <v>-478.3</v>
      </c>
      <c r="L697" s="26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</row>
    <row r="698" spans="1:52" s="37" customFormat="1">
      <c r="A698" s="22"/>
      <c r="B698" s="15"/>
      <c r="C698" s="15"/>
      <c r="D698" s="17">
        <v>41212</v>
      </c>
      <c r="E698" s="12">
        <v>-511.99</v>
      </c>
      <c r="F698" s="12"/>
      <c r="G698" s="17">
        <v>41229</v>
      </c>
      <c r="H698" s="12">
        <v>-493.69</v>
      </c>
      <c r="I698" s="12"/>
      <c r="J698" s="17">
        <v>41276</v>
      </c>
      <c r="K698" s="20">
        <f>23-502.37</f>
        <v>-479.37</v>
      </c>
      <c r="L698" s="26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</row>
    <row r="699" spans="1:52" s="37" customFormat="1">
      <c r="A699" s="22"/>
      <c r="B699" s="15"/>
      <c r="C699" s="15"/>
      <c r="D699" s="17">
        <v>41213</v>
      </c>
      <c r="E699" s="12">
        <v>-513.09</v>
      </c>
      <c r="F699" s="12"/>
      <c r="G699" s="17">
        <v>41230</v>
      </c>
      <c r="H699" s="12">
        <v>-489.07</v>
      </c>
      <c r="I699" s="12"/>
      <c r="J699" s="17">
        <v>41277</v>
      </c>
      <c r="K699" s="20">
        <f>23-502.42</f>
        <v>-479.42</v>
      </c>
      <c r="L699" s="26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</row>
    <row r="700" spans="1:52" s="37" customFormat="1">
      <c r="A700" s="22"/>
      <c r="B700" s="15"/>
      <c r="C700" s="15"/>
      <c r="D700" s="17">
        <v>41214</v>
      </c>
      <c r="E700" s="12">
        <v>-511.19000000000005</v>
      </c>
      <c r="F700" s="12"/>
      <c r="G700" s="17">
        <v>41231</v>
      </c>
      <c r="H700" s="12">
        <v>-493.49</v>
      </c>
      <c r="I700" s="12"/>
      <c r="J700" s="17">
        <v>41278</v>
      </c>
      <c r="K700" s="20">
        <f>23-497.04</f>
        <v>-474.04</v>
      </c>
      <c r="L700" s="26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</row>
    <row r="701" spans="1:52" s="37" customFormat="1">
      <c r="A701" s="22"/>
      <c r="B701" s="15"/>
      <c r="C701" s="15"/>
      <c r="D701" s="17">
        <v>41215</v>
      </c>
      <c r="E701" s="12">
        <v>-510.67999999999995</v>
      </c>
      <c r="F701" s="12"/>
      <c r="G701" s="17">
        <v>41232</v>
      </c>
      <c r="H701" s="12">
        <v>-492.81</v>
      </c>
      <c r="I701" s="12"/>
      <c r="J701" s="17">
        <v>41279</v>
      </c>
      <c r="K701" s="20">
        <f>23-496.49</f>
        <v>-473.49</v>
      </c>
      <c r="L701" s="26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</row>
    <row r="702" spans="1:52" s="37" customFormat="1">
      <c r="A702" s="22"/>
      <c r="B702" s="15"/>
      <c r="C702" s="15"/>
      <c r="D702" s="17">
        <v>41216</v>
      </c>
      <c r="E702" s="12">
        <v>-513</v>
      </c>
      <c r="F702" s="12"/>
      <c r="G702" s="17">
        <v>41233</v>
      </c>
      <c r="H702" s="12">
        <v>-491.48</v>
      </c>
      <c r="I702" s="12"/>
      <c r="J702" s="17">
        <v>41280</v>
      </c>
      <c r="K702" s="20">
        <f>23-496.07</f>
        <v>-473.07</v>
      </c>
      <c r="L702" s="26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</row>
    <row r="703" spans="1:52" s="37" customFormat="1">
      <c r="A703" s="22"/>
      <c r="B703" s="15"/>
      <c r="C703" s="15"/>
      <c r="D703" s="17">
        <v>41217</v>
      </c>
      <c r="E703" s="12">
        <v>-511.79999999999995</v>
      </c>
      <c r="F703" s="12"/>
      <c r="G703" s="17">
        <v>41234</v>
      </c>
      <c r="H703" s="12">
        <v>-492.24</v>
      </c>
      <c r="I703" s="12"/>
      <c r="J703" s="17">
        <v>41281</v>
      </c>
      <c r="K703" s="20">
        <f>23-491.82</f>
        <v>-468.82</v>
      </c>
      <c r="L703" s="26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</row>
    <row r="704" spans="1:52" s="37" customFormat="1">
      <c r="A704" s="22"/>
      <c r="B704" s="15"/>
      <c r="C704" s="15"/>
      <c r="D704" s="17">
        <v>41218</v>
      </c>
      <c r="E704" s="12">
        <v>-511.27</v>
      </c>
      <c r="F704" s="12"/>
      <c r="G704" s="17">
        <v>41235</v>
      </c>
      <c r="H704" s="12">
        <v>-494.48</v>
      </c>
      <c r="I704" s="12"/>
      <c r="J704" s="17">
        <v>41282</v>
      </c>
      <c r="K704" s="20">
        <f>23-492.68</f>
        <v>-469.68</v>
      </c>
      <c r="L704" s="26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</row>
    <row r="705" spans="1:52" s="37" customFormat="1">
      <c r="A705" s="22"/>
      <c r="B705" s="15"/>
      <c r="C705" s="15"/>
      <c r="D705" s="17">
        <v>41219</v>
      </c>
      <c r="E705" s="12">
        <v>-515.69000000000005</v>
      </c>
      <c r="F705" s="12"/>
      <c r="G705" s="17">
        <v>41236</v>
      </c>
      <c r="H705" s="12">
        <v>-493.99</v>
      </c>
      <c r="I705" s="12"/>
      <c r="J705" s="17">
        <v>41283</v>
      </c>
      <c r="K705" s="20">
        <f>23-491.26</f>
        <v>-468.26</v>
      </c>
      <c r="L705" s="26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</row>
    <row r="706" spans="1:52" s="37" customFormat="1">
      <c r="A706" s="22"/>
      <c r="B706" s="15"/>
      <c r="C706" s="15"/>
      <c r="D706" s="17">
        <v>41220</v>
      </c>
      <c r="E706" s="12">
        <v>-512.75</v>
      </c>
      <c r="F706" s="12"/>
      <c r="G706" s="17">
        <v>41237</v>
      </c>
      <c r="H706" s="12">
        <v>-492.5</v>
      </c>
      <c r="I706" s="12"/>
      <c r="J706" s="17">
        <v>41284</v>
      </c>
      <c r="K706" s="20">
        <f>23-490.45</f>
        <v>-467.45</v>
      </c>
      <c r="L706" s="26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</row>
    <row r="707" spans="1:52" s="37" customFormat="1">
      <c r="A707" s="22"/>
      <c r="B707" s="15"/>
      <c r="C707" s="15"/>
      <c r="D707" s="17">
        <v>41221</v>
      </c>
      <c r="E707" s="12">
        <v>-513.77</v>
      </c>
      <c r="F707" s="12"/>
      <c r="G707" s="17">
        <v>41238</v>
      </c>
      <c r="H707" s="12">
        <v>-492.15</v>
      </c>
      <c r="I707" s="12"/>
      <c r="J707" s="17">
        <v>41285</v>
      </c>
      <c r="K707" s="20">
        <f>23-493.41</f>
        <v>-470.41</v>
      </c>
      <c r="L707" s="26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</row>
    <row r="708" spans="1:52" s="37" customFormat="1">
      <c r="A708" s="22"/>
      <c r="B708" s="15"/>
      <c r="C708" s="15"/>
      <c r="D708" s="17">
        <v>41222</v>
      </c>
      <c r="E708" s="12">
        <v>-512.14</v>
      </c>
      <c r="F708" s="12"/>
      <c r="G708" s="17">
        <v>41239</v>
      </c>
      <c r="H708" s="12">
        <v>-491.24</v>
      </c>
      <c r="I708" s="12"/>
      <c r="J708" s="17">
        <v>41286</v>
      </c>
      <c r="K708" s="20">
        <f>23-492.86</f>
        <v>-469.86</v>
      </c>
      <c r="L708" s="26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</row>
    <row r="709" spans="1:52" s="38" customFormat="1">
      <c r="A709" s="22"/>
      <c r="B709" s="15"/>
      <c r="C709" s="15"/>
      <c r="D709" s="17">
        <v>41223</v>
      </c>
      <c r="E709" s="12">
        <v>-510.03999999999996</v>
      </c>
      <c r="F709" s="12"/>
      <c r="G709" s="17">
        <v>41240</v>
      </c>
      <c r="H709" s="12">
        <v>-489.45</v>
      </c>
      <c r="I709" s="12"/>
      <c r="J709" s="17">
        <v>41287</v>
      </c>
      <c r="K709" s="20">
        <f>23-492.69</f>
        <v>-469.69</v>
      </c>
      <c r="L709" s="26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</row>
    <row r="710" spans="1:52" s="38" customFormat="1">
      <c r="A710" s="22"/>
      <c r="B710" s="15"/>
      <c r="C710" s="15"/>
      <c r="D710" s="17">
        <v>41224</v>
      </c>
      <c r="E710" s="12">
        <v>-511.90999999999997</v>
      </c>
      <c r="F710" s="12"/>
      <c r="G710" s="17">
        <v>41241</v>
      </c>
      <c r="H710" s="12">
        <v>-484.46</v>
      </c>
      <c r="I710" s="12"/>
      <c r="J710" s="17">
        <v>41288</v>
      </c>
      <c r="K710" s="20">
        <f>23-491.23</f>
        <v>-468.23</v>
      </c>
      <c r="L710" s="26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</row>
    <row r="711" spans="1:52" s="38" customFormat="1">
      <c r="A711" s="22"/>
      <c r="B711" s="15"/>
      <c r="C711" s="15"/>
      <c r="D711" s="17">
        <v>41225</v>
      </c>
      <c r="E711" s="12">
        <v>-512.04</v>
      </c>
      <c r="F711" s="12"/>
      <c r="G711" s="17">
        <v>41242</v>
      </c>
      <c r="H711" s="12">
        <v>-484.89</v>
      </c>
      <c r="I711" s="12"/>
      <c r="J711" s="17">
        <v>41289</v>
      </c>
      <c r="K711" s="20">
        <f>23-492.36</f>
        <v>-469.36</v>
      </c>
      <c r="L711" s="26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</row>
    <row r="712" spans="1:52" s="38" customFormat="1">
      <c r="A712" s="22"/>
      <c r="B712" s="15"/>
      <c r="C712" s="15"/>
      <c r="D712" s="17">
        <v>41227</v>
      </c>
      <c r="E712" s="12">
        <v>-506.17</v>
      </c>
      <c r="F712" s="12"/>
      <c r="G712" s="17">
        <v>41243</v>
      </c>
      <c r="H712" s="12">
        <v>-481.05</v>
      </c>
      <c r="I712" s="12"/>
      <c r="J712" s="17">
        <v>41290</v>
      </c>
      <c r="K712" s="20">
        <f>23-491.78</f>
        <v>-468.78</v>
      </c>
      <c r="L712" s="26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</row>
    <row r="713" spans="1:52" s="38" customFormat="1">
      <c r="A713" s="22"/>
      <c r="B713" s="15"/>
      <c r="C713" s="15"/>
      <c r="D713" s="17">
        <v>41228</v>
      </c>
      <c r="E713" s="12">
        <v>-512.29999999999995</v>
      </c>
      <c r="F713" s="12"/>
      <c r="G713" s="17">
        <v>41244</v>
      </c>
      <c r="H713" s="12">
        <v>-480.44</v>
      </c>
      <c r="I713" s="12"/>
      <c r="J713" s="17">
        <v>41291</v>
      </c>
      <c r="K713" s="20">
        <f>23-492.77</f>
        <v>-469.77</v>
      </c>
      <c r="L713" s="26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</row>
    <row r="714" spans="1:52" s="38" customFormat="1">
      <c r="A714" s="22"/>
      <c r="B714" s="15"/>
      <c r="C714" s="15"/>
      <c r="D714" s="17">
        <v>41229</v>
      </c>
      <c r="E714" s="12">
        <v>-511.39</v>
      </c>
      <c r="F714" s="12"/>
      <c r="G714" s="17">
        <v>41245</v>
      </c>
      <c r="H714" s="12">
        <v>-475.69</v>
      </c>
      <c r="I714" s="12"/>
      <c r="J714" s="17">
        <v>41292</v>
      </c>
      <c r="K714" s="20">
        <f>23-493.03</f>
        <v>-470.03</v>
      </c>
      <c r="L714" s="26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</row>
    <row r="715" spans="1:52" s="38" customFormat="1">
      <c r="A715" s="22"/>
      <c r="B715" s="15"/>
      <c r="C715" s="15"/>
      <c r="D715" s="17">
        <v>41230</v>
      </c>
      <c r="E715" s="12">
        <v>-518.51</v>
      </c>
      <c r="F715" s="12"/>
      <c r="G715" s="17">
        <v>41246</v>
      </c>
      <c r="H715" s="12">
        <v>-475.65</v>
      </c>
      <c r="I715" s="12"/>
      <c r="J715" s="17">
        <v>41294</v>
      </c>
      <c r="K715" s="20">
        <f>23-490.09</f>
        <v>-467.09</v>
      </c>
      <c r="L715" s="26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</row>
    <row r="716" spans="1:52" s="38" customFormat="1">
      <c r="A716" s="22"/>
      <c r="B716" s="15"/>
      <c r="C716" s="15"/>
      <c r="D716" s="17">
        <v>41231</v>
      </c>
      <c r="E716" s="12">
        <v>-521.73</v>
      </c>
      <c r="F716" s="12"/>
      <c r="G716" s="17">
        <v>41247</v>
      </c>
      <c r="H716" s="12">
        <v>-482.47</v>
      </c>
      <c r="I716" s="12"/>
      <c r="J716" s="17">
        <v>41295</v>
      </c>
      <c r="K716" s="20">
        <f>23-489.77</f>
        <v>-466.77</v>
      </c>
      <c r="L716" s="26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</row>
    <row r="717" spans="1:52" s="38" customFormat="1">
      <c r="A717" s="22"/>
      <c r="B717" s="15"/>
      <c r="C717" s="15"/>
      <c r="D717" s="17">
        <v>41232</v>
      </c>
      <c r="E717" s="12">
        <v>-517.53</v>
      </c>
      <c r="F717" s="12"/>
      <c r="G717" s="17">
        <v>41248</v>
      </c>
      <c r="H717" s="12">
        <v>-481.15</v>
      </c>
      <c r="I717" s="12"/>
      <c r="J717" s="17">
        <v>41296</v>
      </c>
      <c r="K717" s="20">
        <f>23-491.4</f>
        <v>-468.4</v>
      </c>
      <c r="L717" s="26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</row>
    <row r="718" spans="1:52" s="38" customFormat="1">
      <c r="A718" s="22"/>
      <c r="B718" s="15"/>
      <c r="C718" s="15"/>
      <c r="D718" s="17">
        <v>41233</v>
      </c>
      <c r="E718" s="12">
        <v>-518.39</v>
      </c>
      <c r="F718" s="12"/>
      <c r="G718" s="17">
        <v>41249</v>
      </c>
      <c r="H718" s="12">
        <v>-482.11</v>
      </c>
      <c r="I718" s="12"/>
      <c r="J718" s="17">
        <v>41297</v>
      </c>
      <c r="K718" s="20">
        <f>23-490.86</f>
        <v>-467.86</v>
      </c>
      <c r="L718" s="26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</row>
    <row r="719" spans="1:52" s="38" customFormat="1">
      <c r="A719" s="22"/>
      <c r="B719" s="15"/>
      <c r="C719" s="15"/>
      <c r="D719" s="17">
        <v>41234</v>
      </c>
      <c r="E719" s="12">
        <v>-519.63</v>
      </c>
      <c r="F719" s="12"/>
      <c r="G719" s="17">
        <v>41250</v>
      </c>
      <c r="H719" s="12">
        <v>-480.29</v>
      </c>
      <c r="I719" s="12"/>
      <c r="J719" s="17">
        <v>41298</v>
      </c>
      <c r="K719" s="20">
        <f>23-493.2</f>
        <v>-470.2</v>
      </c>
      <c r="L719" s="26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</row>
    <row r="720" spans="1:52" s="38" customFormat="1">
      <c r="A720" s="22"/>
      <c r="B720" s="15"/>
      <c r="C720" s="15"/>
      <c r="D720" s="17">
        <v>41235</v>
      </c>
      <c r="E720" s="12">
        <v>-516.16999999999996</v>
      </c>
      <c r="F720" s="12"/>
      <c r="G720" s="17">
        <v>41251</v>
      </c>
      <c r="H720" s="12">
        <v>-479.59</v>
      </c>
      <c r="I720" s="12"/>
      <c r="J720" s="17">
        <v>41299</v>
      </c>
      <c r="K720" s="20">
        <f>23-494.29</f>
        <v>-471.29</v>
      </c>
      <c r="L720" s="26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</row>
    <row r="721" spans="1:52" s="38" customFormat="1">
      <c r="A721" s="22"/>
      <c r="B721" s="15"/>
      <c r="C721" s="15"/>
      <c r="D721" s="17">
        <v>41236</v>
      </c>
      <c r="E721" s="12">
        <v>-517.63</v>
      </c>
      <c r="F721" s="12"/>
      <c r="G721" s="17">
        <v>41252</v>
      </c>
      <c r="H721" s="12">
        <v>-475.23</v>
      </c>
      <c r="I721" s="12"/>
      <c r="J721" s="17">
        <v>41300</v>
      </c>
      <c r="K721" s="20">
        <f>23-494.32</f>
        <v>-471.32</v>
      </c>
      <c r="L721" s="26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</row>
    <row r="722" spans="1:52" s="38" customFormat="1">
      <c r="A722" s="22"/>
      <c r="B722" s="15"/>
      <c r="C722" s="15"/>
      <c r="D722" s="17">
        <v>41237</v>
      </c>
      <c r="E722" s="12">
        <v>-519.41</v>
      </c>
      <c r="F722" s="12"/>
      <c r="G722" s="17">
        <v>41253</v>
      </c>
      <c r="H722" s="12">
        <v>-471.94</v>
      </c>
      <c r="I722" s="12"/>
      <c r="J722" s="17">
        <v>41301</v>
      </c>
      <c r="K722" s="20">
        <f>23-491.36</f>
        <v>-468.36</v>
      </c>
      <c r="L722" s="26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</row>
    <row r="723" spans="1:52" s="38" customFormat="1">
      <c r="A723" s="22"/>
      <c r="B723" s="15"/>
      <c r="C723" s="15"/>
      <c r="D723" s="17">
        <v>41238</v>
      </c>
      <c r="E723" s="12">
        <v>-520.23</v>
      </c>
      <c r="F723" s="12"/>
      <c r="G723" s="17">
        <v>41254</v>
      </c>
      <c r="H723" s="12">
        <v>-474.65</v>
      </c>
      <c r="I723" s="12"/>
      <c r="J723" s="17">
        <v>41302</v>
      </c>
      <c r="K723" s="20">
        <f>23-492.65</f>
        <v>-469.65</v>
      </c>
      <c r="L723" s="26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</row>
    <row r="724" spans="1:52" s="38" customFormat="1">
      <c r="A724" s="22"/>
      <c r="B724" s="15"/>
      <c r="C724" s="15"/>
      <c r="D724" s="17">
        <v>41239</v>
      </c>
      <c r="E724" s="12">
        <v>-522.19000000000005</v>
      </c>
      <c r="F724" s="12"/>
      <c r="G724" s="17">
        <v>41255</v>
      </c>
      <c r="H724" s="12">
        <v>-475.36</v>
      </c>
      <c r="I724" s="12"/>
      <c r="J724" s="17">
        <v>41303</v>
      </c>
      <c r="K724" s="20">
        <f>23-492.95</f>
        <v>-469.95</v>
      </c>
      <c r="L724" s="26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</row>
    <row r="725" spans="1:52" s="38" customFormat="1">
      <c r="A725" s="22"/>
      <c r="B725" s="15"/>
      <c r="C725" s="15"/>
      <c r="D725" s="17">
        <v>41240</v>
      </c>
      <c r="E725" s="12">
        <v>-520.38</v>
      </c>
      <c r="F725" s="12"/>
      <c r="G725" s="17">
        <v>41256</v>
      </c>
      <c r="H725" s="12">
        <v>-476.4</v>
      </c>
      <c r="I725" s="12"/>
      <c r="J725" s="17">
        <v>41304</v>
      </c>
      <c r="K725" s="20">
        <f>23-491.4</f>
        <v>-468.4</v>
      </c>
      <c r="L725" s="26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</row>
    <row r="726" spans="1:52" s="38" customFormat="1">
      <c r="A726" s="22"/>
      <c r="B726" s="15"/>
      <c r="C726" s="15"/>
      <c r="D726" s="17">
        <v>41241</v>
      </c>
      <c r="E726" s="12">
        <v>-522.39</v>
      </c>
      <c r="F726" s="12"/>
      <c r="G726" s="17">
        <v>41257</v>
      </c>
      <c r="H726" s="12">
        <v>-478.35</v>
      </c>
      <c r="I726" s="12"/>
      <c r="J726" s="17">
        <v>41305</v>
      </c>
      <c r="K726" s="20">
        <f>23-492.09</f>
        <v>-469.09</v>
      </c>
      <c r="L726" s="26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</row>
    <row r="727" spans="1:52" s="38" customFormat="1">
      <c r="A727" s="22"/>
      <c r="B727" s="15"/>
      <c r="C727" s="15"/>
      <c r="D727" s="17">
        <v>41242</v>
      </c>
      <c r="E727" s="12">
        <v>-519.96</v>
      </c>
      <c r="F727" s="12"/>
      <c r="G727" s="17">
        <v>41258</v>
      </c>
      <c r="H727" s="12">
        <v>-475.24</v>
      </c>
      <c r="I727" s="12"/>
      <c r="J727" s="17">
        <v>41306</v>
      </c>
      <c r="K727" s="20">
        <f>23-493.85</f>
        <v>-470.85</v>
      </c>
      <c r="L727" s="26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</row>
    <row r="728" spans="1:52" s="38" customFormat="1">
      <c r="A728" s="22"/>
      <c r="B728" s="15"/>
      <c r="C728" s="15"/>
      <c r="D728" s="17">
        <v>41243</v>
      </c>
      <c r="E728" s="12">
        <v>-521.79</v>
      </c>
      <c r="F728" s="12"/>
      <c r="G728" s="17">
        <v>41259</v>
      </c>
      <c r="H728" s="12">
        <v>-475.15</v>
      </c>
      <c r="I728" s="12"/>
      <c r="J728" s="17">
        <v>41307</v>
      </c>
      <c r="K728" s="20">
        <f>23-493.14</f>
        <v>-470.14</v>
      </c>
      <c r="L728" s="26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</row>
    <row r="729" spans="1:52" s="38" customFormat="1">
      <c r="A729" s="22"/>
      <c r="B729" s="15"/>
      <c r="C729" s="15"/>
      <c r="D729" s="17">
        <v>41244</v>
      </c>
      <c r="E729" s="12">
        <v>-523.86</v>
      </c>
      <c r="F729" s="12"/>
      <c r="G729" s="17">
        <v>41260</v>
      </c>
      <c r="H729" s="12">
        <v>-474.79</v>
      </c>
      <c r="I729" s="12"/>
      <c r="J729" s="17">
        <v>41308</v>
      </c>
      <c r="K729" s="20">
        <f>23-493.4</f>
        <v>-470.4</v>
      </c>
      <c r="L729" s="26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</row>
    <row r="730" spans="1:52" s="38" customFormat="1">
      <c r="A730" s="22"/>
      <c r="B730" s="15"/>
      <c r="C730" s="15"/>
      <c r="D730" s="17">
        <v>41245</v>
      </c>
      <c r="E730" s="12">
        <v>-522.05999999999995</v>
      </c>
      <c r="F730" s="12"/>
      <c r="G730" s="17">
        <v>41261</v>
      </c>
      <c r="H730" s="12">
        <v>-472.92</v>
      </c>
      <c r="I730" s="12"/>
      <c r="J730" s="17">
        <v>41309</v>
      </c>
      <c r="K730" s="20">
        <f>23-492.55</f>
        <v>-469.55</v>
      </c>
      <c r="L730" s="26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</row>
    <row r="731" spans="1:52" s="38" customFormat="1">
      <c r="A731" s="22"/>
      <c r="B731" s="15"/>
      <c r="C731" s="15"/>
      <c r="D731" s="17">
        <v>41246</v>
      </c>
      <c r="E731" s="12">
        <v>-522.88</v>
      </c>
      <c r="F731" s="12"/>
      <c r="G731" s="17">
        <v>41262</v>
      </c>
      <c r="H731" s="12">
        <v>-473.89</v>
      </c>
      <c r="I731" s="12"/>
      <c r="J731" s="17">
        <v>41310</v>
      </c>
      <c r="K731" s="20">
        <f>23-491.68</f>
        <v>-468.68</v>
      </c>
      <c r="L731" s="26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</row>
    <row r="732" spans="1:52" s="38" customFormat="1">
      <c r="A732" s="22"/>
      <c r="B732" s="15"/>
      <c r="C732" s="15"/>
      <c r="D732" s="17">
        <v>41247</v>
      </c>
      <c r="E732" s="12">
        <v>-520.35</v>
      </c>
      <c r="F732" s="12"/>
      <c r="G732" s="17">
        <v>41263</v>
      </c>
      <c r="H732" s="12">
        <v>-475.78</v>
      </c>
      <c r="I732" s="12"/>
      <c r="J732" s="17">
        <v>41311</v>
      </c>
      <c r="K732" s="20">
        <f>23-492.78</f>
        <v>-469.78</v>
      </c>
      <c r="L732" s="26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</row>
    <row r="733" spans="1:52" s="38" customFormat="1">
      <c r="A733" s="22"/>
      <c r="B733" s="15"/>
      <c r="C733" s="15"/>
      <c r="D733" s="17">
        <v>41248</v>
      </c>
      <c r="E733" s="12">
        <v>-519.84</v>
      </c>
      <c r="F733" s="12"/>
      <c r="G733" s="17">
        <v>41264</v>
      </c>
      <c r="H733" s="12">
        <v>-474.4</v>
      </c>
      <c r="I733" s="12"/>
      <c r="J733" s="17">
        <v>41312</v>
      </c>
      <c r="K733" s="20">
        <f>23-492.99</f>
        <v>-469.99</v>
      </c>
      <c r="L733" s="26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</row>
    <row r="734" spans="1:52" s="38" customFormat="1">
      <c r="A734" s="22"/>
      <c r="B734" s="15"/>
      <c r="C734" s="15"/>
      <c r="D734" s="17">
        <v>41249</v>
      </c>
      <c r="E734" s="12">
        <v>-519</v>
      </c>
      <c r="F734" s="12"/>
      <c r="G734" s="17">
        <v>41265</v>
      </c>
      <c r="H734" s="12">
        <v>-476.86</v>
      </c>
      <c r="I734" s="12"/>
      <c r="J734" s="17">
        <v>41313</v>
      </c>
      <c r="K734" s="20">
        <f>23-492.01</f>
        <v>-469.01</v>
      </c>
      <c r="L734" s="26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</row>
    <row r="735" spans="1:52" s="38" customFormat="1">
      <c r="A735" s="22"/>
      <c r="B735" s="15"/>
      <c r="C735" s="15"/>
      <c r="D735" s="17">
        <v>41250</v>
      </c>
      <c r="E735" s="12">
        <v>-520.52</v>
      </c>
      <c r="F735" s="12"/>
      <c r="G735" s="17">
        <v>41266</v>
      </c>
      <c r="H735" s="12">
        <v>-475.88</v>
      </c>
      <c r="I735" s="12"/>
      <c r="J735" s="17">
        <v>41318</v>
      </c>
      <c r="K735" s="20">
        <f>23-493.61</f>
        <v>-470.61</v>
      </c>
      <c r="L735" s="26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</row>
    <row r="736" spans="1:52" s="38" customFormat="1">
      <c r="A736" s="22"/>
      <c r="B736" s="15"/>
      <c r="C736" s="15"/>
      <c r="D736" s="17">
        <v>41251</v>
      </c>
      <c r="E736" s="12">
        <v>-520.70000000000005</v>
      </c>
      <c r="F736" s="12"/>
      <c r="G736" s="17">
        <v>41267</v>
      </c>
      <c r="H736" s="12">
        <v>-480.3</v>
      </c>
      <c r="I736" s="12"/>
      <c r="J736" s="17">
        <v>41320</v>
      </c>
      <c r="K736" s="20">
        <f>23-495.13</f>
        <v>-472.13</v>
      </c>
      <c r="L736" s="26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</row>
    <row r="737" spans="1:52" s="38" customFormat="1">
      <c r="A737" s="22"/>
      <c r="B737" s="15"/>
      <c r="C737" s="15"/>
      <c r="D737" s="17">
        <v>41252</v>
      </c>
      <c r="E737" s="12">
        <v>-523.26</v>
      </c>
      <c r="F737" s="12"/>
      <c r="G737" s="17">
        <v>41269</v>
      </c>
      <c r="H737" s="12">
        <v>-475.49</v>
      </c>
      <c r="I737" s="12"/>
      <c r="J737" s="17">
        <v>41321</v>
      </c>
      <c r="K737" s="20">
        <f>23-497.36</f>
        <v>-474.36</v>
      </c>
      <c r="L737" s="26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</row>
    <row r="738" spans="1:52" s="38" customFormat="1">
      <c r="A738" s="22"/>
      <c r="B738" s="15"/>
      <c r="C738" s="15"/>
      <c r="D738" s="17">
        <v>41253</v>
      </c>
      <c r="E738" s="12">
        <v>-520.72</v>
      </c>
      <c r="F738" s="12"/>
      <c r="G738" s="17">
        <v>41270</v>
      </c>
      <c r="H738" s="12">
        <v>-470.34</v>
      </c>
      <c r="I738" s="12"/>
      <c r="J738" s="17">
        <v>41322</v>
      </c>
      <c r="K738" s="20">
        <f>23-494.36</f>
        <v>-471.36</v>
      </c>
      <c r="L738" s="26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</row>
    <row r="739" spans="1:52" s="38" customFormat="1">
      <c r="A739" s="22"/>
      <c r="B739" s="15"/>
      <c r="C739" s="15"/>
      <c r="D739" s="17">
        <v>41254</v>
      </c>
      <c r="E739" s="12">
        <v>-517.65</v>
      </c>
      <c r="F739" s="12"/>
      <c r="G739" s="17">
        <v>41271</v>
      </c>
      <c r="H739" s="12">
        <v>-469.96</v>
      </c>
      <c r="I739" s="12"/>
      <c r="J739" s="17">
        <v>41323</v>
      </c>
      <c r="K739" s="20">
        <f>23-494.88</f>
        <v>-471.88</v>
      </c>
      <c r="L739" s="26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</row>
    <row r="740" spans="1:52" s="38" customFormat="1">
      <c r="A740" s="22"/>
      <c r="B740" s="15"/>
      <c r="C740" s="15"/>
      <c r="D740" s="17">
        <v>41255</v>
      </c>
      <c r="E740" s="12">
        <v>-513.38</v>
      </c>
      <c r="F740" s="12"/>
      <c r="G740" s="17">
        <v>41272</v>
      </c>
      <c r="H740" s="12">
        <v>-471.32</v>
      </c>
      <c r="I740" s="12"/>
      <c r="J740" s="17">
        <v>41324</v>
      </c>
      <c r="K740" s="20">
        <f>23-494.09</f>
        <v>-471.09</v>
      </c>
      <c r="L740" s="26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</row>
    <row r="741" spans="1:52" s="38" customFormat="1">
      <c r="A741" s="22"/>
      <c r="B741" s="15"/>
      <c r="C741" s="15"/>
      <c r="D741" s="17">
        <v>41256</v>
      </c>
      <c r="E741" s="12">
        <v>-517.32000000000005</v>
      </c>
      <c r="F741" s="12"/>
      <c r="G741" s="17">
        <v>41273</v>
      </c>
      <c r="H741" s="12">
        <v>-471.83</v>
      </c>
      <c r="I741" s="12"/>
      <c r="J741" s="17">
        <v>41325</v>
      </c>
      <c r="K741" s="20">
        <f>23-495.21</f>
        <v>-472.21</v>
      </c>
      <c r="L741" s="26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</row>
    <row r="742" spans="1:52" s="38" customFormat="1">
      <c r="A742" s="22"/>
      <c r="B742" s="15"/>
      <c r="C742" s="15"/>
      <c r="D742" s="17">
        <v>41257</v>
      </c>
      <c r="E742" s="12">
        <v>-517.13</v>
      </c>
      <c r="F742" s="12"/>
      <c r="G742" s="17">
        <v>41276</v>
      </c>
      <c r="H742" s="12">
        <v>-473.42</v>
      </c>
      <c r="I742" s="12"/>
      <c r="J742" s="17">
        <v>41326</v>
      </c>
      <c r="K742" s="20">
        <f>23-495.96</f>
        <v>-472.96</v>
      </c>
      <c r="L742" s="26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</row>
    <row r="743" spans="1:52" s="38" customFormat="1">
      <c r="A743" s="22"/>
      <c r="B743" s="15"/>
      <c r="C743" s="15"/>
      <c r="D743" s="17">
        <v>41258</v>
      </c>
      <c r="E743" s="12">
        <v>-518.61</v>
      </c>
      <c r="F743" s="12"/>
      <c r="G743" s="17">
        <v>41277</v>
      </c>
      <c r="H743" s="12">
        <v>-473.91</v>
      </c>
      <c r="I743" s="12"/>
      <c r="J743" s="17">
        <v>41327</v>
      </c>
      <c r="K743" s="20">
        <f>23-496.31</f>
        <v>-473.31</v>
      </c>
      <c r="L743" s="26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</row>
    <row r="744" spans="1:52" s="38" customFormat="1">
      <c r="A744" s="22"/>
      <c r="B744" s="15"/>
      <c r="C744" s="15"/>
      <c r="D744" s="17">
        <v>41259</v>
      </c>
      <c r="E744" s="12">
        <v>-511.73</v>
      </c>
      <c r="F744" s="12"/>
      <c r="G744" s="17">
        <v>41278</v>
      </c>
      <c r="H744" s="12">
        <v>-472.24</v>
      </c>
      <c r="I744" s="12"/>
      <c r="J744" s="17">
        <v>41328</v>
      </c>
      <c r="K744" s="20">
        <f>23-498.59</f>
        <v>-475.59</v>
      </c>
      <c r="L744" s="26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</row>
    <row r="745" spans="1:52" s="38" customFormat="1">
      <c r="A745" s="22"/>
      <c r="B745" s="15"/>
      <c r="C745" s="15"/>
      <c r="D745" s="17">
        <v>41260</v>
      </c>
      <c r="E745" s="12">
        <v>-513.29999999999995</v>
      </c>
      <c r="F745" s="12"/>
      <c r="G745" s="17">
        <v>41279</v>
      </c>
      <c r="H745" s="12">
        <v>-473.38</v>
      </c>
      <c r="I745" s="12"/>
      <c r="J745" s="17">
        <v>41329</v>
      </c>
      <c r="K745" s="20">
        <f>23-496.17</f>
        <v>-473.17</v>
      </c>
      <c r="L745" s="26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</row>
    <row r="746" spans="1:52" s="38" customFormat="1">
      <c r="A746" s="22"/>
      <c r="B746" s="15"/>
      <c r="C746" s="15"/>
      <c r="D746" s="17">
        <v>41261</v>
      </c>
      <c r="E746" s="12">
        <v>-513.03</v>
      </c>
      <c r="F746" s="12"/>
      <c r="G746" s="17">
        <v>41280</v>
      </c>
      <c r="H746" s="12">
        <v>-472.9</v>
      </c>
      <c r="I746" s="12"/>
      <c r="J746" s="17">
        <v>41330</v>
      </c>
      <c r="K746" s="20">
        <f>23-494.43</f>
        <v>-471.43</v>
      </c>
      <c r="L746" s="26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</row>
    <row r="747" spans="1:52" s="38" customFormat="1">
      <c r="A747" s="22"/>
      <c r="B747" s="15"/>
      <c r="C747" s="15"/>
      <c r="D747" s="17">
        <v>41262</v>
      </c>
      <c r="E747" s="12">
        <v>-516.9</v>
      </c>
      <c r="F747" s="12"/>
      <c r="G747" s="17">
        <v>41281</v>
      </c>
      <c r="H747" s="12">
        <v>-472.03</v>
      </c>
      <c r="I747" s="12"/>
      <c r="J747" s="17">
        <v>41331</v>
      </c>
      <c r="K747" s="20">
        <f>23-495.14</f>
        <v>-472.14</v>
      </c>
      <c r="L747" s="26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</row>
    <row r="748" spans="1:52" s="38" customFormat="1">
      <c r="A748" s="22"/>
      <c r="B748" s="15"/>
      <c r="C748" s="15"/>
      <c r="D748" s="17">
        <v>41263</v>
      </c>
      <c r="E748" s="12">
        <v>-516.29999999999995</v>
      </c>
      <c r="F748" s="12"/>
      <c r="G748" s="17">
        <v>41282</v>
      </c>
      <c r="H748" s="12">
        <v>-470.89</v>
      </c>
      <c r="I748" s="12"/>
      <c r="J748" s="17">
        <v>41332</v>
      </c>
      <c r="K748" s="20">
        <f>23-492.51</f>
        <v>-469.51</v>
      </c>
      <c r="L748" s="26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</row>
    <row r="749" spans="1:52" s="38" customFormat="1">
      <c r="A749" s="22"/>
      <c r="B749" s="15"/>
      <c r="C749" s="15"/>
      <c r="D749" s="17">
        <v>41264</v>
      </c>
      <c r="E749" s="12">
        <v>-515.97</v>
      </c>
      <c r="F749" s="12"/>
      <c r="G749" s="17">
        <v>41283</v>
      </c>
      <c r="H749" s="12">
        <v>-471.71</v>
      </c>
      <c r="I749" s="12"/>
      <c r="J749" s="17">
        <v>41333</v>
      </c>
      <c r="K749" s="20">
        <f>23-491.44</f>
        <v>-468.44</v>
      </c>
      <c r="L749" s="26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</row>
    <row r="750" spans="1:52" s="38" customFormat="1">
      <c r="A750" s="22"/>
      <c r="B750" s="15"/>
      <c r="C750" s="15"/>
      <c r="D750" s="17">
        <v>41265</v>
      </c>
      <c r="E750" s="12">
        <v>-519.71</v>
      </c>
      <c r="F750" s="12"/>
      <c r="G750" s="17">
        <v>41284</v>
      </c>
      <c r="H750" s="12">
        <v>-467.62</v>
      </c>
      <c r="I750" s="12"/>
      <c r="J750" s="17">
        <v>41334</v>
      </c>
      <c r="K750" s="20">
        <f>23-491.68</f>
        <v>-468.68</v>
      </c>
      <c r="L750" s="26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</row>
    <row r="751" spans="1:52" s="38" customFormat="1">
      <c r="A751" s="22"/>
      <c r="B751" s="15"/>
      <c r="C751" s="15"/>
      <c r="D751" s="17">
        <v>41266</v>
      </c>
      <c r="E751" s="12">
        <v>-517.48</v>
      </c>
      <c r="F751" s="12"/>
      <c r="G751" s="17">
        <v>41285</v>
      </c>
      <c r="H751" s="12">
        <v>-470.8</v>
      </c>
      <c r="I751" s="12"/>
      <c r="J751" s="17">
        <v>41335</v>
      </c>
      <c r="K751" s="20">
        <f>23-494.61</f>
        <v>-471.61</v>
      </c>
      <c r="L751" s="26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</row>
    <row r="752" spans="1:52" s="38" customFormat="1">
      <c r="A752" s="22"/>
      <c r="B752" s="15"/>
      <c r="C752" s="15"/>
      <c r="D752" s="17">
        <v>41267</v>
      </c>
      <c r="E752" s="12">
        <v>-519.73</v>
      </c>
      <c r="F752" s="12"/>
      <c r="G752" s="17">
        <v>41286</v>
      </c>
      <c r="H752" s="12">
        <v>-465.41</v>
      </c>
      <c r="I752" s="12"/>
      <c r="J752" s="17">
        <v>41336</v>
      </c>
      <c r="K752" s="20">
        <f>23-492.23</f>
        <v>-469.23</v>
      </c>
      <c r="L752" s="26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</row>
    <row r="753" spans="1:52" s="38" customFormat="1">
      <c r="A753" s="22"/>
      <c r="B753" s="15"/>
      <c r="C753" s="15"/>
      <c r="D753" s="17">
        <v>41269</v>
      </c>
      <c r="E753" s="12">
        <v>-519.54999999999995</v>
      </c>
      <c r="F753" s="12"/>
      <c r="G753" s="17">
        <v>41287</v>
      </c>
      <c r="H753" s="12">
        <v>-472.81</v>
      </c>
      <c r="I753" s="12"/>
      <c r="J753" s="17">
        <v>41337</v>
      </c>
      <c r="K753" s="20">
        <f>23-493.21</f>
        <v>-470.21</v>
      </c>
      <c r="L753" s="26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</row>
    <row r="754" spans="1:52" s="38" customFormat="1">
      <c r="A754" s="22"/>
      <c r="B754" s="15"/>
      <c r="C754" s="15"/>
      <c r="D754" s="17">
        <v>41270</v>
      </c>
      <c r="E754" s="12">
        <v>-520.46</v>
      </c>
      <c r="F754" s="12"/>
      <c r="G754" s="17">
        <v>41288</v>
      </c>
      <c r="H754" s="12">
        <v>-473.03</v>
      </c>
      <c r="I754" s="12"/>
      <c r="J754" s="17">
        <v>41338</v>
      </c>
      <c r="K754" s="20">
        <f>23-495.45</f>
        <v>-472.45</v>
      </c>
      <c r="L754" s="26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</row>
    <row r="755" spans="1:52" s="38" customFormat="1">
      <c r="A755" s="22"/>
      <c r="B755" s="15"/>
      <c r="C755" s="15"/>
      <c r="D755" s="17">
        <v>41271</v>
      </c>
      <c r="E755" s="12">
        <v>-519.23</v>
      </c>
      <c r="F755" s="12"/>
      <c r="G755" s="17">
        <v>41289</v>
      </c>
      <c r="H755" s="12">
        <v>-475.24</v>
      </c>
      <c r="I755" s="12"/>
      <c r="J755" s="17">
        <v>41339</v>
      </c>
      <c r="K755" s="20">
        <f>23-495.54</f>
        <v>-472.54</v>
      </c>
      <c r="L755" s="26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</row>
    <row r="756" spans="1:52" s="38" customFormat="1">
      <c r="A756" s="22"/>
      <c r="B756" s="15"/>
      <c r="C756" s="15"/>
      <c r="D756" s="17">
        <v>41272</v>
      </c>
      <c r="E756" s="12">
        <v>-520.05999999999995</v>
      </c>
      <c r="F756" s="12"/>
      <c r="G756" s="17">
        <v>41290</v>
      </c>
      <c r="H756" s="12">
        <v>-474.1</v>
      </c>
      <c r="I756" s="12"/>
      <c r="J756" s="17">
        <v>41340</v>
      </c>
      <c r="K756" s="20">
        <f>23-496.48</f>
        <v>-473.48</v>
      </c>
      <c r="L756" s="26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</row>
    <row r="757" spans="1:52" s="36" customFormat="1">
      <c r="A757" s="22"/>
      <c r="B757" s="15"/>
      <c r="C757" s="15"/>
      <c r="D757" s="17">
        <v>41273</v>
      </c>
      <c r="E757" s="12">
        <v>-520.30999999999995</v>
      </c>
      <c r="F757" s="12"/>
      <c r="G757" s="17">
        <v>41291</v>
      </c>
      <c r="H757" s="12">
        <v>-470.76</v>
      </c>
      <c r="I757" s="12"/>
      <c r="J757" s="17">
        <v>41341</v>
      </c>
      <c r="K757" s="20">
        <f>23-495.94</f>
        <v>-472.94</v>
      </c>
      <c r="L757" s="26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</row>
    <row r="758" spans="1:52" s="36" customFormat="1">
      <c r="A758" s="22"/>
      <c r="B758" s="15"/>
      <c r="C758" s="15"/>
      <c r="D758" s="17">
        <v>41274</v>
      </c>
      <c r="E758" s="12">
        <v>-518.28</v>
      </c>
      <c r="F758" s="12"/>
      <c r="G758" s="17">
        <v>41292</v>
      </c>
      <c r="H758" s="12">
        <v>-471.31</v>
      </c>
      <c r="I758" s="12"/>
      <c r="J758" s="17">
        <v>41342</v>
      </c>
      <c r="K758" s="20">
        <f>23-492.25</f>
        <v>-469.25</v>
      </c>
      <c r="L758" s="26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</row>
    <row r="759" spans="1:52" s="36" customFormat="1">
      <c r="A759" s="22"/>
      <c r="B759" s="15"/>
      <c r="C759" s="15"/>
      <c r="D759" s="17">
        <v>41276</v>
      </c>
      <c r="E759" s="12">
        <v>-516.63</v>
      </c>
      <c r="F759" s="12"/>
      <c r="G759" s="17">
        <v>41294</v>
      </c>
      <c r="H759" s="12">
        <v>-470.88</v>
      </c>
      <c r="I759" s="12"/>
      <c r="J759" s="17">
        <v>41343</v>
      </c>
      <c r="K759" s="20">
        <f>23-489.3</f>
        <v>-466.3</v>
      </c>
      <c r="L759" s="26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</row>
    <row r="760" spans="1:52" s="36" customFormat="1">
      <c r="A760" s="22"/>
      <c r="B760" s="15"/>
      <c r="C760" s="15"/>
      <c r="D760" s="17">
        <v>41277</v>
      </c>
      <c r="E760" s="12">
        <v>-518.92999999999995</v>
      </c>
      <c r="F760" s="12"/>
      <c r="G760" s="17">
        <v>41295</v>
      </c>
      <c r="H760" s="12">
        <v>-471.01</v>
      </c>
      <c r="I760" s="12"/>
      <c r="J760" s="17">
        <v>41344</v>
      </c>
      <c r="K760" s="20">
        <f>23-490.01</f>
        <v>-467.01</v>
      </c>
      <c r="L760" s="26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</row>
    <row r="761" spans="1:52">
      <c r="A761" s="22"/>
      <c r="B761" s="15"/>
      <c r="C761" s="15"/>
      <c r="D761" s="17">
        <v>41278</v>
      </c>
      <c r="E761" s="12">
        <v>-519.52</v>
      </c>
      <c r="G761" s="17">
        <v>41296</v>
      </c>
      <c r="H761" s="12">
        <v>-470.9</v>
      </c>
      <c r="J761" s="17">
        <v>41351</v>
      </c>
      <c r="K761" s="20">
        <f>23-491.42</f>
        <v>-468.42</v>
      </c>
    </row>
    <row r="762" spans="1:52">
      <c r="A762" s="22"/>
      <c r="B762" s="15"/>
      <c r="C762" s="15"/>
      <c r="D762" s="17">
        <v>41279</v>
      </c>
      <c r="E762" s="12">
        <v>-516.83000000000004</v>
      </c>
      <c r="G762" s="17">
        <v>41297</v>
      </c>
      <c r="H762" s="12">
        <v>-469.79</v>
      </c>
      <c r="J762" s="17">
        <v>41358</v>
      </c>
      <c r="K762" s="20">
        <f>23-493.15</f>
        <v>-470.15</v>
      </c>
    </row>
    <row r="763" spans="1:52">
      <c r="A763" s="22"/>
      <c r="B763" s="15"/>
      <c r="C763" s="15"/>
      <c r="D763" s="17">
        <v>41280</v>
      </c>
      <c r="E763" s="12">
        <v>-515.94000000000005</v>
      </c>
      <c r="G763" s="17">
        <v>41298</v>
      </c>
      <c r="H763" s="12">
        <v>-469.64</v>
      </c>
      <c r="J763" s="17">
        <v>41365</v>
      </c>
      <c r="K763" s="20">
        <f>23-491.59</f>
        <v>-468.59</v>
      </c>
    </row>
    <row r="764" spans="1:52">
      <c r="A764" s="22"/>
      <c r="B764" s="15"/>
      <c r="C764" s="15"/>
      <c r="D764" s="17">
        <v>41281</v>
      </c>
      <c r="E764" s="12">
        <v>-519.52</v>
      </c>
      <c r="G764" s="17">
        <v>41299</v>
      </c>
      <c r="H764" s="12">
        <v>-471.51</v>
      </c>
      <c r="J764" s="17">
        <v>41372</v>
      </c>
      <c r="K764" s="20">
        <f>23-489.73</f>
        <v>-466.73</v>
      </c>
    </row>
    <row r="765" spans="1:52">
      <c r="A765" s="22"/>
      <c r="B765" s="15"/>
      <c r="C765" s="15"/>
      <c r="D765" s="17">
        <v>41282</v>
      </c>
      <c r="E765" s="12">
        <v>-520.98</v>
      </c>
      <c r="G765" s="17">
        <v>41300</v>
      </c>
      <c r="H765" s="12">
        <v>-471.66</v>
      </c>
      <c r="J765" s="17">
        <v>41379</v>
      </c>
      <c r="K765" s="20">
        <f>23-488.34</f>
        <v>-465.34</v>
      </c>
    </row>
    <row r="766" spans="1:52">
      <c r="A766" s="22"/>
      <c r="B766" s="15"/>
      <c r="C766" s="15"/>
      <c r="D766" s="17">
        <v>41283</v>
      </c>
      <c r="E766" s="12">
        <v>-523.04</v>
      </c>
      <c r="G766" s="17">
        <v>41301</v>
      </c>
      <c r="H766" s="12">
        <v>-471.51</v>
      </c>
      <c r="J766" s="17">
        <v>41386</v>
      </c>
      <c r="K766" s="20">
        <f>23-489.51</f>
        <v>-466.51</v>
      </c>
    </row>
    <row r="767" spans="1:52">
      <c r="A767" s="22"/>
      <c r="B767" s="15"/>
      <c r="C767" s="15"/>
      <c r="D767" s="17">
        <v>41284</v>
      </c>
      <c r="E767" s="12">
        <v>-522.72</v>
      </c>
      <c r="G767" s="17">
        <v>41302</v>
      </c>
      <c r="H767" s="12">
        <v>-473.26</v>
      </c>
      <c r="J767" s="17">
        <v>41393</v>
      </c>
      <c r="K767" s="20">
        <f>23-490.39</f>
        <v>-467.39</v>
      </c>
    </row>
    <row r="768" spans="1:52">
      <c r="A768" s="22"/>
      <c r="B768" s="15"/>
      <c r="C768" s="15"/>
      <c r="D768" s="17">
        <v>41285</v>
      </c>
      <c r="E768" s="12">
        <v>-521</v>
      </c>
      <c r="G768" s="17">
        <v>41303</v>
      </c>
      <c r="H768" s="12">
        <v>-471.08</v>
      </c>
      <c r="J768" s="17">
        <v>41400</v>
      </c>
      <c r="K768" s="20">
        <f>23-492.91</f>
        <v>-469.91</v>
      </c>
    </row>
    <row r="769" spans="1:11">
      <c r="A769" s="22"/>
      <c r="B769" s="15"/>
      <c r="C769" s="15"/>
      <c r="D769" s="17">
        <v>41286</v>
      </c>
      <c r="E769" s="12">
        <v>-525.88</v>
      </c>
      <c r="G769" s="17">
        <v>41304</v>
      </c>
      <c r="H769" s="12">
        <v>-473.25</v>
      </c>
      <c r="J769" s="17">
        <v>41432</v>
      </c>
      <c r="K769" s="20">
        <f>23-493.87</f>
        <v>-470.87</v>
      </c>
    </row>
    <row r="770" spans="1:11">
      <c r="A770" s="22"/>
      <c r="B770" s="15"/>
      <c r="C770" s="15"/>
      <c r="D770" s="17">
        <v>41287</v>
      </c>
      <c r="E770" s="12">
        <v>-524.17999999999995</v>
      </c>
      <c r="G770" s="17">
        <v>41305</v>
      </c>
      <c r="H770" s="12">
        <v>-473.59</v>
      </c>
      <c r="J770" s="17">
        <v>41461</v>
      </c>
      <c r="K770" s="20">
        <f>23-493.44</f>
        <v>-470.44</v>
      </c>
    </row>
    <row r="771" spans="1:11">
      <c r="A771" s="22"/>
      <c r="B771" s="15"/>
      <c r="C771" s="15"/>
      <c r="D771" s="17">
        <v>41288</v>
      </c>
      <c r="E771" s="12">
        <v>-521.46</v>
      </c>
      <c r="G771" s="17">
        <v>41306</v>
      </c>
      <c r="H771" s="12">
        <v>-473.68</v>
      </c>
      <c r="J771" s="17">
        <v>41493</v>
      </c>
      <c r="K771" s="20">
        <f>23-494.12</f>
        <v>-471.12</v>
      </c>
    </row>
    <row r="772" spans="1:11">
      <c r="A772" s="22"/>
      <c r="B772" s="15"/>
      <c r="C772" s="15"/>
      <c r="D772" s="17">
        <v>41289</v>
      </c>
      <c r="E772" s="12">
        <v>-522.97</v>
      </c>
      <c r="G772" s="17">
        <v>41307</v>
      </c>
      <c r="H772" s="12">
        <v>-471.71</v>
      </c>
      <c r="J772" s="17">
        <v>41524</v>
      </c>
      <c r="K772" s="20">
        <f>23-493.46</f>
        <v>-470.46</v>
      </c>
    </row>
    <row r="773" spans="1:11">
      <c r="A773" s="22"/>
      <c r="B773" s="15"/>
      <c r="C773" s="15"/>
      <c r="D773" s="17">
        <v>41290</v>
      </c>
      <c r="E773" s="12">
        <v>-523.46</v>
      </c>
      <c r="G773" s="17">
        <v>41308</v>
      </c>
      <c r="H773" s="12">
        <v>-473.21</v>
      </c>
      <c r="J773" s="17">
        <v>41554</v>
      </c>
      <c r="K773" s="20">
        <f>23-496.58</f>
        <v>-473.58</v>
      </c>
    </row>
    <row r="774" spans="1:11">
      <c r="A774" s="22"/>
      <c r="B774" s="15"/>
      <c r="C774" s="15"/>
      <c r="D774" s="17">
        <v>41291</v>
      </c>
      <c r="E774" s="12">
        <v>-519.67999999999995</v>
      </c>
      <c r="G774" s="17">
        <v>41309</v>
      </c>
      <c r="H774" s="12">
        <v>-473.81</v>
      </c>
      <c r="J774" s="12"/>
      <c r="K774" s="20"/>
    </row>
    <row r="775" spans="1:11">
      <c r="A775" s="22"/>
      <c r="B775" s="15"/>
      <c r="C775" s="15"/>
      <c r="D775" s="17">
        <v>41292</v>
      </c>
      <c r="E775" s="12">
        <v>-518.03</v>
      </c>
      <c r="G775" s="17">
        <v>41310</v>
      </c>
      <c r="H775" s="12">
        <v>-474.55</v>
      </c>
      <c r="J775" s="12"/>
      <c r="K775" s="20"/>
    </row>
    <row r="776" spans="1:11">
      <c r="A776" s="22"/>
      <c r="B776" s="15"/>
      <c r="C776" s="15"/>
      <c r="D776" s="17">
        <v>41294</v>
      </c>
      <c r="E776" s="12">
        <v>-517.17999999999995</v>
      </c>
      <c r="G776" s="17">
        <v>41311</v>
      </c>
      <c r="H776" s="12">
        <v>-472.99</v>
      </c>
      <c r="J776" s="12"/>
      <c r="K776" s="20"/>
    </row>
    <row r="777" spans="1:11">
      <c r="A777" s="22"/>
      <c r="B777" s="15"/>
      <c r="C777" s="15"/>
      <c r="D777" s="17">
        <v>41295</v>
      </c>
      <c r="E777" s="12">
        <v>-520.66</v>
      </c>
      <c r="G777" s="17">
        <v>41312</v>
      </c>
      <c r="H777" s="12">
        <v>-474.67</v>
      </c>
      <c r="J777" s="12"/>
      <c r="K777" s="20"/>
    </row>
    <row r="778" spans="1:11">
      <c r="A778" s="22"/>
      <c r="B778" s="15"/>
      <c r="C778" s="15"/>
      <c r="D778" s="17">
        <v>41296</v>
      </c>
      <c r="E778" s="12">
        <v>-521.94000000000005</v>
      </c>
      <c r="G778" s="17">
        <v>41318</v>
      </c>
      <c r="H778" s="12">
        <v>-469.67</v>
      </c>
      <c r="J778" s="12"/>
      <c r="K778" s="20"/>
    </row>
    <row r="779" spans="1:11">
      <c r="A779" s="22"/>
      <c r="B779" s="15"/>
      <c r="C779" s="15"/>
      <c r="D779" s="17">
        <v>41297</v>
      </c>
      <c r="E779" s="12">
        <v>-521.36</v>
      </c>
      <c r="G779" s="17">
        <v>41320</v>
      </c>
      <c r="H779" s="12">
        <v>-468.95</v>
      </c>
      <c r="J779" s="12"/>
      <c r="K779" s="20"/>
    </row>
    <row r="780" spans="1:11">
      <c r="A780" s="22"/>
      <c r="B780" s="15"/>
      <c r="C780" s="15"/>
      <c r="D780" s="17">
        <v>41298</v>
      </c>
      <c r="E780" s="12">
        <v>-522.52</v>
      </c>
      <c r="G780" s="17">
        <v>41321</v>
      </c>
      <c r="H780" s="12">
        <v>-469.34</v>
      </c>
      <c r="J780" s="12"/>
      <c r="K780" s="20"/>
    </row>
    <row r="781" spans="1:11">
      <c r="A781" s="22"/>
      <c r="B781" s="15"/>
      <c r="C781" s="15"/>
      <c r="D781" s="17">
        <v>41299</v>
      </c>
      <c r="E781" s="12">
        <v>-518.69000000000005</v>
      </c>
      <c r="G781" s="17">
        <v>41322</v>
      </c>
      <c r="H781" s="12">
        <v>-469.65</v>
      </c>
      <c r="J781" s="12"/>
      <c r="K781" s="20"/>
    </row>
    <row r="782" spans="1:11">
      <c r="A782" s="22"/>
      <c r="B782" s="15"/>
      <c r="C782" s="15"/>
      <c r="D782" s="17">
        <v>41300</v>
      </c>
      <c r="E782" s="12">
        <v>-519.58000000000004</v>
      </c>
      <c r="G782" s="17">
        <v>41323</v>
      </c>
      <c r="H782" s="12">
        <v>-471.08</v>
      </c>
      <c r="J782" s="12"/>
      <c r="K782" s="20"/>
    </row>
    <row r="783" spans="1:11">
      <c r="A783" s="22"/>
      <c r="B783" s="15"/>
      <c r="C783" s="15"/>
      <c r="D783" s="17">
        <v>41301</v>
      </c>
      <c r="E783" s="12">
        <v>-517.57000000000005</v>
      </c>
      <c r="G783" s="17">
        <v>41324</v>
      </c>
      <c r="H783" s="12">
        <v>-469.01</v>
      </c>
      <c r="J783" s="12"/>
      <c r="K783" s="20"/>
    </row>
    <row r="784" spans="1:11">
      <c r="A784" s="22"/>
      <c r="B784" s="15"/>
      <c r="C784" s="15"/>
      <c r="D784" s="17">
        <v>41302</v>
      </c>
      <c r="E784" s="12">
        <v>-517.80999999999995</v>
      </c>
      <c r="G784" s="17">
        <v>41325</v>
      </c>
      <c r="H784" s="12">
        <v>-467.49</v>
      </c>
      <c r="J784" s="12"/>
      <c r="K784" s="20"/>
    </row>
    <row r="785" spans="1:11">
      <c r="A785" s="22"/>
      <c r="B785" s="15"/>
      <c r="C785" s="15"/>
      <c r="D785" s="17">
        <v>41303</v>
      </c>
      <c r="E785" s="12">
        <v>-520.30999999999995</v>
      </c>
      <c r="G785" s="17">
        <v>41326</v>
      </c>
      <c r="H785" s="12">
        <v>-468.84</v>
      </c>
      <c r="J785" s="12"/>
      <c r="K785" s="20"/>
    </row>
    <row r="786" spans="1:11">
      <c r="A786" s="22"/>
      <c r="B786" s="15"/>
      <c r="C786" s="15"/>
      <c r="D786" s="17">
        <v>41304</v>
      </c>
      <c r="E786" s="12">
        <v>-519.34</v>
      </c>
      <c r="G786" s="17">
        <v>41327</v>
      </c>
      <c r="H786" s="12">
        <v>-469.23</v>
      </c>
      <c r="J786" s="12"/>
      <c r="K786" s="20"/>
    </row>
    <row r="787" spans="1:11">
      <c r="A787" s="22"/>
      <c r="B787" s="15"/>
      <c r="C787" s="15"/>
      <c r="D787" s="17">
        <v>41305</v>
      </c>
      <c r="E787" s="12">
        <v>-519.42999999999995</v>
      </c>
      <c r="G787" s="17">
        <v>41328</v>
      </c>
      <c r="H787" s="12">
        <v>-466.25</v>
      </c>
      <c r="J787" s="12"/>
      <c r="K787" s="20"/>
    </row>
    <row r="788" spans="1:11">
      <c r="A788" s="22"/>
      <c r="B788" s="15"/>
      <c r="C788" s="15"/>
      <c r="D788" s="17">
        <v>41306</v>
      </c>
      <c r="E788" s="12">
        <v>-521.47</v>
      </c>
      <c r="G788" s="17">
        <v>41329</v>
      </c>
      <c r="H788" s="12">
        <v>-466.98</v>
      </c>
      <c r="J788" s="12"/>
      <c r="K788" s="20"/>
    </row>
    <row r="789" spans="1:11">
      <c r="A789" s="22"/>
      <c r="B789" s="15"/>
      <c r="C789" s="15"/>
      <c r="D789" s="17">
        <v>41307</v>
      </c>
      <c r="E789" s="12">
        <v>-520.04999999999995</v>
      </c>
      <c r="G789" s="17">
        <v>41330</v>
      </c>
      <c r="H789" s="12">
        <v>-468.5</v>
      </c>
      <c r="J789" s="12"/>
      <c r="K789" s="20"/>
    </row>
    <row r="790" spans="1:11">
      <c r="A790" s="22"/>
      <c r="B790" s="15"/>
      <c r="C790" s="15"/>
      <c r="D790" s="17">
        <v>41308</v>
      </c>
      <c r="E790" s="12">
        <v>-521.07000000000005</v>
      </c>
      <c r="G790" s="17">
        <v>41331</v>
      </c>
      <c r="H790" s="12">
        <v>-469.08</v>
      </c>
      <c r="J790" s="12"/>
      <c r="K790" s="20"/>
    </row>
    <row r="791" spans="1:11">
      <c r="A791" s="22"/>
      <c r="B791" s="15"/>
      <c r="C791" s="15"/>
      <c r="D791" s="17">
        <v>41309</v>
      </c>
      <c r="E791" s="12">
        <v>-513.36</v>
      </c>
      <c r="G791" s="17">
        <v>41332</v>
      </c>
      <c r="H791" s="12">
        <v>-466.28</v>
      </c>
      <c r="J791" s="12"/>
      <c r="K791" s="20"/>
    </row>
    <row r="792" spans="1:11">
      <c r="A792" s="22"/>
      <c r="B792" s="15"/>
      <c r="C792" s="15"/>
      <c r="D792" s="17">
        <v>41310</v>
      </c>
      <c r="E792" s="12">
        <v>-515.08000000000004</v>
      </c>
      <c r="G792" s="17">
        <v>41333</v>
      </c>
      <c r="H792" s="12">
        <v>-465.94</v>
      </c>
      <c r="J792" s="12"/>
      <c r="K792" s="20"/>
    </row>
    <row r="793" spans="1:11">
      <c r="A793" s="22"/>
      <c r="B793" s="15"/>
      <c r="C793" s="15"/>
      <c r="D793" s="17">
        <v>41311</v>
      </c>
      <c r="E793" s="12">
        <v>-512.80999999999995</v>
      </c>
      <c r="G793" s="17">
        <v>41334</v>
      </c>
      <c r="H793" s="12">
        <v>-468.47</v>
      </c>
      <c r="J793" s="12"/>
      <c r="K793" s="20"/>
    </row>
    <row r="794" spans="1:11">
      <c r="A794" s="22"/>
      <c r="B794" s="15"/>
      <c r="C794" s="15"/>
      <c r="D794" s="17">
        <v>41312</v>
      </c>
      <c r="E794" s="12">
        <v>-511.61</v>
      </c>
      <c r="G794" s="17">
        <v>41336</v>
      </c>
      <c r="H794" s="12">
        <v>-472.71</v>
      </c>
      <c r="J794" s="12"/>
      <c r="K794" s="20"/>
    </row>
    <row r="795" spans="1:11">
      <c r="A795" s="22"/>
      <c r="B795" s="15"/>
      <c r="C795" s="15"/>
      <c r="D795" s="17">
        <v>41313</v>
      </c>
      <c r="E795" s="12">
        <v>-512.78</v>
      </c>
      <c r="G795" s="17">
        <v>41337</v>
      </c>
      <c r="H795" s="12">
        <v>-475.26</v>
      </c>
      <c r="J795" s="12"/>
      <c r="K795" s="20"/>
    </row>
    <row r="796" spans="1:11">
      <c r="A796" s="22"/>
      <c r="B796" s="15"/>
      <c r="C796" s="15"/>
      <c r="D796" s="17">
        <v>41318</v>
      </c>
      <c r="E796" s="12">
        <v>-512.63</v>
      </c>
      <c r="G796" s="17">
        <v>41338</v>
      </c>
      <c r="H796" s="12">
        <v>-476.28</v>
      </c>
      <c r="J796" s="12"/>
      <c r="K796" s="20"/>
    </row>
    <row r="797" spans="1:11">
      <c r="A797" s="22"/>
      <c r="B797" s="15"/>
      <c r="C797" s="15"/>
      <c r="D797" s="17">
        <v>41320</v>
      </c>
      <c r="E797" s="12">
        <v>-516.71</v>
      </c>
      <c r="G797" s="17">
        <v>41339</v>
      </c>
      <c r="H797" s="12">
        <v>-475.7</v>
      </c>
      <c r="J797" s="12"/>
      <c r="K797" s="20"/>
    </row>
    <row r="798" spans="1:11">
      <c r="A798" s="22"/>
      <c r="B798" s="15"/>
      <c r="C798" s="15"/>
      <c r="D798" s="17">
        <v>41321</v>
      </c>
      <c r="E798" s="12">
        <v>-516.80999999999995</v>
      </c>
      <c r="G798" s="17">
        <v>41340</v>
      </c>
      <c r="H798" s="12">
        <v>-478.99</v>
      </c>
      <c r="J798" s="12"/>
      <c r="K798" s="20"/>
    </row>
    <row r="799" spans="1:11">
      <c r="A799" s="22"/>
      <c r="B799" s="15"/>
      <c r="C799" s="15"/>
      <c r="D799" s="17">
        <v>41323</v>
      </c>
      <c r="E799" s="12">
        <v>-519.98</v>
      </c>
      <c r="G799" s="17">
        <v>41341</v>
      </c>
      <c r="H799" s="12">
        <v>-475.19</v>
      </c>
      <c r="J799" s="12"/>
      <c r="K799" s="20"/>
    </row>
    <row r="800" spans="1:11">
      <c r="A800" s="22"/>
      <c r="B800" s="15"/>
      <c r="C800" s="15"/>
      <c r="D800" s="17">
        <v>41324</v>
      </c>
      <c r="E800" s="12">
        <v>-517.44000000000005</v>
      </c>
      <c r="G800" s="17">
        <v>41342</v>
      </c>
      <c r="H800" s="12">
        <v>-468.55</v>
      </c>
      <c r="J800" s="12"/>
      <c r="K800" s="20"/>
    </row>
    <row r="801" spans="1:11">
      <c r="A801" s="22"/>
      <c r="B801" s="15"/>
      <c r="C801" s="15"/>
      <c r="D801" s="17">
        <v>41325</v>
      </c>
      <c r="E801" s="12">
        <v>-521.24</v>
      </c>
      <c r="G801" s="17">
        <v>41343</v>
      </c>
      <c r="H801" s="12">
        <v>-470.09</v>
      </c>
      <c r="J801" s="12"/>
      <c r="K801" s="20"/>
    </row>
    <row r="802" spans="1:11">
      <c r="A802" s="22"/>
      <c r="B802" s="15"/>
      <c r="C802" s="15"/>
      <c r="D802" s="17">
        <v>41326</v>
      </c>
      <c r="E802" s="12">
        <v>-520.80999999999995</v>
      </c>
      <c r="G802" s="17">
        <v>41344</v>
      </c>
      <c r="H802" s="12">
        <v>-469.36</v>
      </c>
      <c r="J802" s="12"/>
      <c r="K802" s="20"/>
    </row>
    <row r="803" spans="1:11">
      <c r="A803" s="22"/>
      <c r="B803" s="15"/>
      <c r="C803" s="15"/>
      <c r="D803" s="17">
        <v>41327</v>
      </c>
      <c r="E803" s="12">
        <v>-519.6</v>
      </c>
      <c r="G803" s="17">
        <v>41351</v>
      </c>
      <c r="H803" s="12">
        <v>-467.97</v>
      </c>
      <c r="J803" s="12"/>
      <c r="K803" s="20"/>
    </row>
    <row r="804" spans="1:11">
      <c r="A804" s="22"/>
      <c r="B804" s="15"/>
      <c r="C804" s="15"/>
      <c r="D804" s="17">
        <v>41328</v>
      </c>
      <c r="E804" s="12">
        <v>-518.42999999999995</v>
      </c>
      <c r="G804" s="17">
        <v>41358</v>
      </c>
      <c r="H804" s="12">
        <f>-464.86</f>
        <v>-464.86</v>
      </c>
      <c r="J804" s="12"/>
      <c r="K804" s="20"/>
    </row>
    <row r="805" spans="1:11">
      <c r="A805" s="22"/>
      <c r="B805" s="15"/>
      <c r="C805" s="15"/>
      <c r="D805" s="17">
        <v>41329</v>
      </c>
      <c r="E805" s="12">
        <v>-521.13</v>
      </c>
      <c r="G805" s="17">
        <v>41365</v>
      </c>
      <c r="H805" s="12">
        <f>-464.68</f>
        <v>-464.68</v>
      </c>
      <c r="J805" s="12"/>
      <c r="K805" s="20"/>
    </row>
    <row r="806" spans="1:11">
      <c r="A806" s="22"/>
      <c r="B806" s="15"/>
      <c r="C806" s="15"/>
      <c r="D806" s="17">
        <v>41330</v>
      </c>
      <c r="E806" s="12">
        <v>-515.74</v>
      </c>
      <c r="G806" s="17">
        <v>41372</v>
      </c>
      <c r="H806" s="12">
        <f>-459.09</f>
        <v>-459.09</v>
      </c>
      <c r="J806" s="12"/>
      <c r="K806" s="20"/>
    </row>
    <row r="807" spans="1:11">
      <c r="A807" s="22"/>
      <c r="B807" s="15"/>
      <c r="C807" s="15"/>
      <c r="D807" s="17">
        <v>41331</v>
      </c>
      <c r="E807" s="12">
        <v>-516.4</v>
      </c>
      <c r="G807" s="17">
        <v>41379</v>
      </c>
      <c r="H807" s="12">
        <f>-458.82</f>
        <v>-458.82</v>
      </c>
      <c r="J807" s="12"/>
      <c r="K807" s="20"/>
    </row>
    <row r="808" spans="1:11">
      <c r="A808" s="22"/>
      <c r="B808" s="15"/>
      <c r="C808" s="15"/>
      <c r="D808" s="17">
        <v>41332</v>
      </c>
      <c r="E808" s="12">
        <v>-515.34</v>
      </c>
      <c r="G808" s="17">
        <v>41386</v>
      </c>
      <c r="H808" s="12">
        <f>-457.99</f>
        <v>-457.99</v>
      </c>
      <c r="J808" s="12"/>
      <c r="K808" s="20"/>
    </row>
    <row r="809" spans="1:11">
      <c r="A809" s="22"/>
      <c r="B809" s="15"/>
      <c r="C809" s="15"/>
      <c r="D809" s="17">
        <v>41333</v>
      </c>
      <c r="E809" s="12">
        <v>-515.11</v>
      </c>
      <c r="G809" s="17">
        <v>41393</v>
      </c>
      <c r="H809" s="12">
        <f>-458.52</f>
        <v>-458.52</v>
      </c>
      <c r="J809" s="12"/>
      <c r="K809" s="20"/>
    </row>
    <row r="810" spans="1:11">
      <c r="A810" s="22"/>
      <c r="B810" s="15"/>
      <c r="C810" s="15"/>
      <c r="D810" s="17">
        <v>41334</v>
      </c>
      <c r="E810" s="12">
        <v>-515.53</v>
      </c>
      <c r="G810" s="17">
        <v>41402</v>
      </c>
      <c r="H810" s="12">
        <f>-457.78</f>
        <v>-457.78</v>
      </c>
      <c r="J810" s="12"/>
      <c r="K810" s="20"/>
    </row>
    <row r="811" spans="1:11">
      <c r="A811" s="22"/>
      <c r="B811" s="15"/>
      <c r="C811" s="15"/>
      <c r="D811" s="17">
        <v>41335</v>
      </c>
      <c r="E811" s="12">
        <v>-513.97</v>
      </c>
      <c r="G811" s="17">
        <v>41432</v>
      </c>
      <c r="H811" s="12">
        <f>-453.54</f>
        <v>-453.54</v>
      </c>
      <c r="J811" s="12"/>
      <c r="K811" s="20"/>
    </row>
    <row r="812" spans="1:11">
      <c r="A812" s="22"/>
      <c r="B812" s="15"/>
      <c r="C812" s="15"/>
      <c r="D812" s="17">
        <v>41336</v>
      </c>
      <c r="E812" s="12">
        <v>-513.58000000000004</v>
      </c>
      <c r="G812" s="17">
        <v>41461</v>
      </c>
      <c r="H812" s="12">
        <f>-455.56</f>
        <v>-455.56</v>
      </c>
      <c r="J812" s="12"/>
      <c r="K812" s="20"/>
    </row>
    <row r="813" spans="1:11">
      <c r="A813" s="22"/>
      <c r="B813" s="15"/>
      <c r="C813" s="15"/>
      <c r="D813" s="17">
        <v>41337</v>
      </c>
      <c r="E813" s="12">
        <v>-512.95000000000005</v>
      </c>
      <c r="G813" s="17">
        <v>41493</v>
      </c>
      <c r="H813" s="12">
        <f>-454.6</f>
        <v>-454.6</v>
      </c>
      <c r="J813" s="12"/>
      <c r="K813" s="20"/>
    </row>
    <row r="814" spans="1:11">
      <c r="A814" s="22"/>
      <c r="B814" s="15"/>
      <c r="C814" s="15"/>
      <c r="D814" s="17">
        <v>41338</v>
      </c>
      <c r="E814" s="12">
        <v>-515.75</v>
      </c>
      <c r="G814" s="17">
        <v>41524</v>
      </c>
      <c r="H814" s="12">
        <f>-457.75</f>
        <v>-457.75</v>
      </c>
      <c r="J814" s="12"/>
      <c r="K814" s="20"/>
    </row>
    <row r="815" spans="1:11">
      <c r="A815" s="22"/>
      <c r="B815" s="15"/>
      <c r="C815" s="15"/>
      <c r="D815" s="17">
        <v>41339</v>
      </c>
      <c r="E815" s="12">
        <v>-516.04999999999995</v>
      </c>
      <c r="G815" s="17">
        <v>41554</v>
      </c>
      <c r="H815" s="12">
        <f>-457.36</f>
        <v>-457.36</v>
      </c>
      <c r="J815" s="12"/>
      <c r="K815" s="20"/>
    </row>
    <row r="816" spans="1:11">
      <c r="A816" s="22"/>
      <c r="B816" s="15"/>
      <c r="C816" s="15"/>
      <c r="D816" s="17">
        <v>41340</v>
      </c>
      <c r="E816" s="12">
        <v>-517.21</v>
      </c>
      <c r="G816" s="17"/>
      <c r="J816" s="12"/>
      <c r="K816" s="20"/>
    </row>
    <row r="817" spans="1:11">
      <c r="A817" s="22"/>
      <c r="B817" s="15"/>
      <c r="C817" s="15"/>
      <c r="D817" s="17">
        <v>41341</v>
      </c>
      <c r="E817" s="12">
        <v>-514.89</v>
      </c>
      <c r="G817" s="17"/>
      <c r="J817" s="12"/>
      <c r="K817" s="20"/>
    </row>
    <row r="818" spans="1:11">
      <c r="A818" s="22"/>
      <c r="B818" s="15"/>
      <c r="C818" s="15"/>
      <c r="D818" s="17">
        <v>41342</v>
      </c>
      <c r="E818" s="12">
        <v>-519.88</v>
      </c>
      <c r="G818" s="17"/>
      <c r="J818" s="12"/>
      <c r="K818" s="20"/>
    </row>
    <row r="819" spans="1:11">
      <c r="A819" s="22"/>
      <c r="B819" s="15"/>
      <c r="C819" s="15"/>
      <c r="D819" s="17">
        <v>41343</v>
      </c>
      <c r="E819" s="12">
        <v>-515.82000000000005</v>
      </c>
      <c r="G819" s="17"/>
      <c r="J819" s="12"/>
      <c r="K819" s="20"/>
    </row>
    <row r="820" spans="1:11">
      <c r="A820" s="22"/>
      <c r="B820" s="15"/>
      <c r="C820" s="15"/>
      <c r="D820" s="17">
        <v>41344</v>
      </c>
      <c r="E820" s="12">
        <v>-517.28</v>
      </c>
      <c r="G820" s="17"/>
      <c r="J820" s="12"/>
      <c r="K820" s="20"/>
    </row>
    <row r="821" spans="1:11">
      <c r="A821" s="22"/>
      <c r="B821" s="15"/>
      <c r="C821" s="15"/>
      <c r="D821" s="17">
        <v>41351</v>
      </c>
      <c r="E821" s="12">
        <v>-520.55999999999995</v>
      </c>
      <c r="G821" s="17"/>
      <c r="J821" s="12"/>
      <c r="K821" s="20"/>
    </row>
    <row r="822" spans="1:11">
      <c r="A822" s="22"/>
      <c r="B822" s="15"/>
      <c r="C822" s="15"/>
      <c r="D822" s="17">
        <v>41358</v>
      </c>
      <c r="E822" s="12">
        <v>-519.02</v>
      </c>
      <c r="G822" s="17"/>
      <c r="J822" s="12"/>
      <c r="K822" s="20"/>
    </row>
    <row r="823" spans="1:11">
      <c r="A823" s="22"/>
      <c r="B823" s="15"/>
      <c r="C823" s="15"/>
      <c r="D823" s="17">
        <v>41365</v>
      </c>
      <c r="E823" s="12">
        <v>-516.53</v>
      </c>
      <c r="G823" s="17"/>
      <c r="J823" s="12"/>
      <c r="K823" s="20"/>
    </row>
    <row r="824" spans="1:11">
      <c r="A824" s="22"/>
      <c r="B824" s="15"/>
      <c r="C824" s="15"/>
      <c r="D824" s="17">
        <v>41372</v>
      </c>
      <c r="E824" s="12">
        <v>-520.77</v>
      </c>
      <c r="G824" s="17"/>
      <c r="J824" s="12"/>
      <c r="K824" s="20"/>
    </row>
    <row r="825" spans="1:11">
      <c r="A825" s="22"/>
      <c r="B825" s="15"/>
      <c r="C825" s="15"/>
      <c r="D825" s="17">
        <v>41379</v>
      </c>
      <c r="E825" s="12">
        <v>-520.14</v>
      </c>
      <c r="G825" s="17"/>
      <c r="J825" s="12"/>
      <c r="K825" s="20"/>
    </row>
    <row r="826" spans="1:11">
      <c r="A826" s="22"/>
      <c r="B826" s="15"/>
      <c r="C826" s="15"/>
      <c r="D826" s="17">
        <v>41386</v>
      </c>
      <c r="E826" s="12">
        <v>-518.11</v>
      </c>
      <c r="G826" s="17"/>
      <c r="J826" s="12"/>
      <c r="K826" s="20"/>
    </row>
    <row r="827" spans="1:11">
      <c r="A827" s="22"/>
      <c r="B827" s="15"/>
      <c r="C827" s="15"/>
      <c r="D827" s="17">
        <v>41393</v>
      </c>
      <c r="E827" s="12">
        <v>-519.87</v>
      </c>
      <c r="G827" s="17"/>
      <c r="J827" s="12"/>
      <c r="K827" s="20"/>
    </row>
    <row r="828" spans="1:11">
      <c r="A828" s="22"/>
      <c r="B828" s="15"/>
      <c r="C828" s="15"/>
      <c r="D828" s="17">
        <v>41402</v>
      </c>
      <c r="E828" s="12">
        <v>-517.77</v>
      </c>
      <c r="G828" s="17"/>
      <c r="J828" s="12"/>
      <c r="K828" s="20"/>
    </row>
    <row r="829" spans="1:11">
      <c r="A829" s="22"/>
      <c r="B829" s="15"/>
      <c r="C829" s="15"/>
      <c r="D829" s="17">
        <v>41432</v>
      </c>
      <c r="E829" s="12">
        <v>-519.66</v>
      </c>
      <c r="G829" s="17"/>
      <c r="J829" s="12"/>
      <c r="K829" s="20"/>
    </row>
    <row r="830" spans="1:11">
      <c r="A830" s="22"/>
      <c r="B830" s="15"/>
      <c r="C830" s="15"/>
      <c r="D830" s="17">
        <v>41461</v>
      </c>
      <c r="E830" s="12">
        <v>-516.04999999999995</v>
      </c>
      <c r="G830" s="17"/>
      <c r="J830" s="12"/>
      <c r="K830" s="20"/>
    </row>
    <row r="831" spans="1:11">
      <c r="A831" s="22"/>
      <c r="B831" s="15"/>
      <c r="C831" s="15"/>
      <c r="D831" s="17">
        <v>41493</v>
      </c>
      <c r="E831" s="12">
        <v>-515.89</v>
      </c>
      <c r="G831" s="17"/>
      <c r="J831" s="12"/>
      <c r="K831" s="20"/>
    </row>
    <row r="832" spans="1:11">
      <c r="A832" s="22"/>
      <c r="B832" s="15"/>
      <c r="C832" s="15"/>
      <c r="D832" s="17">
        <v>41524</v>
      </c>
      <c r="E832" s="12">
        <v>-517.32000000000005</v>
      </c>
      <c r="G832" s="17"/>
      <c r="J832" s="12"/>
      <c r="K832" s="20"/>
    </row>
    <row r="833" spans="1:11">
      <c r="A833" s="22"/>
      <c r="B833" s="15"/>
      <c r="C833" s="15"/>
      <c r="D833" s="17">
        <v>41554</v>
      </c>
      <c r="E833" s="12">
        <v>-514.63</v>
      </c>
      <c r="G833" s="17"/>
      <c r="J833" s="12"/>
      <c r="K833" s="20"/>
    </row>
    <row r="834" spans="1:11">
      <c r="A834" s="22"/>
      <c r="B834" s="15"/>
      <c r="C834" s="15"/>
      <c r="D834" s="17"/>
      <c r="G834" s="17"/>
      <c r="J834" s="12"/>
      <c r="K834" s="20"/>
    </row>
    <row r="835" spans="1:11">
      <c r="A835" s="22"/>
      <c r="B835" s="15"/>
      <c r="C835" s="15"/>
      <c r="D835" s="17"/>
      <c r="G835" s="17"/>
      <c r="J835" s="12"/>
      <c r="K835" s="20"/>
    </row>
    <row r="836" spans="1:11">
      <c r="A836" s="22"/>
      <c r="B836" s="15"/>
      <c r="C836" s="15"/>
      <c r="D836" s="17"/>
      <c r="G836" s="17"/>
      <c r="J836" s="12"/>
      <c r="K836" s="20"/>
    </row>
    <row r="837" spans="1:11">
      <c r="A837" s="22"/>
      <c r="B837" s="15"/>
      <c r="C837" s="15"/>
      <c r="D837" s="17"/>
      <c r="G837" s="17"/>
      <c r="J837" s="12"/>
      <c r="K837" s="20"/>
    </row>
    <row r="838" spans="1:11">
      <c r="A838" s="22"/>
      <c r="B838" s="15"/>
      <c r="C838" s="15"/>
      <c r="D838" s="17"/>
      <c r="G838" s="17"/>
      <c r="J838" s="12"/>
      <c r="K838" s="20"/>
    </row>
    <row r="839" spans="1:11">
      <c r="A839" s="22"/>
      <c r="B839" s="15"/>
      <c r="C839" s="15"/>
      <c r="D839" s="17"/>
      <c r="G839" s="17"/>
      <c r="J839" s="12"/>
      <c r="K839" s="20"/>
    </row>
    <row r="840" spans="1:11">
      <c r="A840" s="22"/>
      <c r="B840" s="15"/>
      <c r="C840" s="15"/>
      <c r="D840" s="17"/>
      <c r="G840" s="17"/>
      <c r="J840" s="12"/>
      <c r="K840" s="20"/>
    </row>
    <row r="841" spans="1:11">
      <c r="A841" s="22"/>
      <c r="B841" s="15"/>
      <c r="C841" s="15"/>
      <c r="D841" s="17"/>
      <c r="G841" s="17"/>
      <c r="J841" s="12"/>
      <c r="K841" s="20"/>
    </row>
    <row r="842" spans="1:11">
      <c r="A842" s="22"/>
      <c r="B842" s="15"/>
      <c r="C842" s="15"/>
      <c r="D842" s="17"/>
      <c r="G842" s="17"/>
      <c r="J842" s="12"/>
      <c r="K842" s="20"/>
    </row>
    <row r="843" spans="1:11">
      <c r="A843" s="22"/>
      <c r="B843" s="15"/>
      <c r="C843" s="15"/>
      <c r="D843" s="17"/>
      <c r="G843" s="17"/>
      <c r="J843" s="12"/>
      <c r="K843" s="20"/>
    </row>
    <row r="844" spans="1:11">
      <c r="A844" s="22"/>
      <c r="B844" s="15"/>
      <c r="C844" s="15"/>
      <c r="D844" s="17"/>
      <c r="G844" s="17"/>
      <c r="J844" s="12"/>
      <c r="K844" s="20"/>
    </row>
    <row r="845" spans="1:11">
      <c r="A845" s="22"/>
      <c r="B845" s="15"/>
      <c r="C845" s="15"/>
      <c r="D845" s="17"/>
      <c r="G845" s="17"/>
      <c r="J845" s="12"/>
      <c r="K845" s="20"/>
    </row>
    <row r="846" spans="1:11">
      <c r="A846" s="22"/>
      <c r="B846" s="15"/>
      <c r="C846" s="15"/>
      <c r="D846" s="17"/>
      <c r="G846" s="17"/>
      <c r="J846" s="12"/>
      <c r="K846" s="20"/>
    </row>
    <row r="847" spans="1:11">
      <c r="A847" s="22"/>
      <c r="B847" s="15"/>
      <c r="C847" s="15"/>
      <c r="D847" s="17"/>
      <c r="G847" s="17"/>
      <c r="J847" s="12"/>
      <c r="K847" s="20"/>
    </row>
    <row r="848" spans="1:11">
      <c r="A848" s="22"/>
      <c r="B848" s="15"/>
      <c r="C848" s="15"/>
      <c r="D848" s="17"/>
      <c r="G848" s="17"/>
      <c r="J848" s="12"/>
      <c r="K848" s="20"/>
    </row>
    <row r="849" spans="1:11">
      <c r="A849" s="22"/>
      <c r="B849" s="15"/>
      <c r="C849" s="15"/>
      <c r="D849" s="17"/>
      <c r="G849" s="17"/>
      <c r="J849" s="12"/>
      <c r="K849" s="20"/>
    </row>
    <row r="850" spans="1:11">
      <c r="A850" s="22"/>
      <c r="B850" s="15"/>
      <c r="C850" s="15"/>
      <c r="D850" s="17"/>
      <c r="G850" s="17"/>
      <c r="J850" s="12"/>
      <c r="K850" s="20"/>
    </row>
    <row r="851" spans="1:11">
      <c r="A851" s="22"/>
      <c r="B851" s="15"/>
      <c r="C851" s="15"/>
      <c r="D851" s="17"/>
      <c r="G851" s="17"/>
      <c r="J851" s="12"/>
      <c r="K851" s="20"/>
    </row>
    <row r="852" spans="1:11">
      <c r="A852" s="22"/>
      <c r="B852" s="15"/>
      <c r="C852" s="15"/>
      <c r="D852" s="17"/>
      <c r="G852" s="17"/>
      <c r="J852" s="12"/>
      <c r="K852" s="20"/>
    </row>
    <row r="853" spans="1:11">
      <c r="A853" s="22"/>
      <c r="B853" s="15"/>
      <c r="C853" s="15"/>
      <c r="D853" s="17"/>
      <c r="G853" s="17"/>
      <c r="J853" s="12"/>
      <c r="K853" s="20"/>
    </row>
    <row r="854" spans="1:11">
      <c r="A854" s="22"/>
      <c r="B854" s="15"/>
      <c r="C854" s="15"/>
      <c r="D854" s="17"/>
      <c r="G854" s="17"/>
      <c r="J854" s="12"/>
      <c r="K854" s="20"/>
    </row>
    <row r="855" spans="1:11">
      <c r="A855" s="22"/>
      <c r="B855" s="15"/>
      <c r="C855" s="15"/>
      <c r="D855" s="17"/>
      <c r="G855" s="17"/>
      <c r="J855" s="12"/>
      <c r="K855" s="20"/>
    </row>
  </sheetData>
  <pageMargins left="0.7" right="0.7" top="0.75" bottom="0.75" header="0.3" footer="0.3"/>
  <pageSetup orientation="portrait" copies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7"/>
  <sheetViews>
    <sheetView zoomScaleNormal="100" workbookViewId="0">
      <selection activeCell="E22" sqref="E22"/>
    </sheetView>
  </sheetViews>
  <sheetFormatPr defaultRowHeight="12.75"/>
  <cols>
    <col min="1" max="1" width="13.28515625" style="3" customWidth="1"/>
    <col min="2" max="2" width="18.28515625" style="46" customWidth="1"/>
    <col min="3" max="3" width="18.140625" style="46" customWidth="1"/>
    <col min="4" max="4" width="36.5703125" style="46" customWidth="1"/>
    <col min="5" max="16384" width="9.140625" style="3"/>
  </cols>
  <sheetData>
    <row r="1" spans="1:4" s="41" customFormat="1" ht="46.5" customHeight="1">
      <c r="A1" s="39" t="s">
        <v>38</v>
      </c>
      <c r="B1" s="40" t="s">
        <v>104</v>
      </c>
      <c r="C1" s="40" t="s">
        <v>105</v>
      </c>
      <c r="D1" s="40" t="s">
        <v>103</v>
      </c>
    </row>
    <row r="2" spans="1:4" s="41" customFormat="1">
      <c r="A2" s="39"/>
      <c r="B2" s="42" t="s">
        <v>53</v>
      </c>
      <c r="C2" s="42" t="s">
        <v>53</v>
      </c>
      <c r="D2" s="43" t="s">
        <v>53</v>
      </c>
    </row>
    <row r="3" spans="1:4" s="41" customFormat="1" ht="9" customHeight="1">
      <c r="A3" s="42"/>
      <c r="B3" s="42"/>
      <c r="C3" s="42"/>
      <c r="D3" s="43"/>
    </row>
    <row r="4" spans="1:4">
      <c r="A4" s="44">
        <v>40711</v>
      </c>
      <c r="B4" s="45">
        <v>0</v>
      </c>
      <c r="C4" s="45">
        <v>0.499999998282874</v>
      </c>
      <c r="D4" s="46">
        <f>B4-C4</f>
        <v>-0.499999998282874</v>
      </c>
    </row>
    <row r="5" spans="1:4">
      <c r="A5" s="44">
        <v>40712</v>
      </c>
      <c r="B5" s="45">
        <v>1.4913069978499698</v>
      </c>
      <c r="C5" s="45">
        <v>1.2679067376722351</v>
      </c>
      <c r="D5" s="46">
        <f t="shared" ref="D5:D36" si="0">B5-C5</f>
        <v>0.22340026017773473</v>
      </c>
    </row>
    <row r="6" spans="1:4">
      <c r="A6" s="44">
        <v>40713</v>
      </c>
      <c r="B6" s="45">
        <v>1.8022442183474223</v>
      </c>
      <c r="C6" s="45">
        <v>-0.64603961543148114</v>
      </c>
      <c r="D6" s="46">
        <f t="shared" si="0"/>
        <v>2.4482838337789037</v>
      </c>
    </row>
    <row r="7" spans="1:4">
      <c r="A7" s="47">
        <v>40714</v>
      </c>
      <c r="B7" s="45">
        <v>3.4927866534338681</v>
      </c>
      <c r="C7" s="45">
        <v>2.3365795721578864</v>
      </c>
      <c r="D7" s="46">
        <f t="shared" si="0"/>
        <v>1.1562070812759817</v>
      </c>
    </row>
    <row r="8" spans="1:4">
      <c r="A8" s="44">
        <v>40715</v>
      </c>
      <c r="B8" s="45">
        <v>-1.4037812464040984</v>
      </c>
      <c r="C8" s="45">
        <v>5.586361240716025</v>
      </c>
      <c r="D8" s="46">
        <f t="shared" si="0"/>
        <v>-6.9901424871201234</v>
      </c>
    </row>
    <row r="9" spans="1:4">
      <c r="A9" s="47">
        <v>40716</v>
      </c>
      <c r="B9" s="45">
        <v>2.2686446790399608</v>
      </c>
      <c r="C9" s="45">
        <v>-0.91320840979208173</v>
      </c>
      <c r="D9" s="46">
        <f t="shared" si="0"/>
        <v>3.1818530888320424</v>
      </c>
    </row>
    <row r="10" spans="1:4">
      <c r="A10" s="44">
        <v>40717</v>
      </c>
      <c r="B10" s="45">
        <v>1.423373519566778</v>
      </c>
      <c r="C10" s="45">
        <v>-1.7147148059869362</v>
      </c>
      <c r="D10" s="46">
        <f t="shared" si="0"/>
        <v>3.1380883255537144</v>
      </c>
    </row>
    <row r="11" spans="1:4">
      <c r="A11" s="47">
        <v>40718</v>
      </c>
      <c r="B11" s="45">
        <v>1.0445027035148844</v>
      </c>
      <c r="C11" s="45">
        <v>3.2497816685581378</v>
      </c>
      <c r="D11" s="46">
        <f t="shared" si="0"/>
        <v>-2.2052789650432532</v>
      </c>
    </row>
    <row r="12" spans="1:4">
      <c r="A12" s="44">
        <v>40719</v>
      </c>
      <c r="B12" s="45">
        <v>-0.75774163097261726</v>
      </c>
      <c r="C12" s="45">
        <v>-0.91320840979208173</v>
      </c>
      <c r="D12" s="46">
        <f t="shared" si="0"/>
        <v>0.15546677881946447</v>
      </c>
    </row>
    <row r="13" spans="1:4">
      <c r="A13" s="44">
        <v>40723</v>
      </c>
      <c r="B13" s="45">
        <v>-1.2920792277878841</v>
      </c>
      <c r="C13" s="45">
        <v>-2.6279232188540962</v>
      </c>
      <c r="D13" s="46">
        <f t="shared" si="0"/>
        <v>1.3358439910662121</v>
      </c>
    </row>
    <row r="14" spans="1:4">
      <c r="A14" s="47">
        <v>40726</v>
      </c>
      <c r="B14" s="45">
        <v>1.6663698288307169</v>
      </c>
      <c r="C14" s="45">
        <v>-0.35927853981413593</v>
      </c>
      <c r="D14" s="46">
        <f t="shared" si="0"/>
        <v>2.0256483686448528</v>
      </c>
    </row>
    <row r="15" spans="1:4">
      <c r="A15" s="44">
        <v>40735</v>
      </c>
      <c r="B15" s="45">
        <v>-2.4528641618529643</v>
      </c>
      <c r="C15" s="45">
        <v>-2.5102163769764325</v>
      </c>
      <c r="D15" s="46">
        <f t="shared" si="0"/>
        <v>5.735221512346822E-2</v>
      </c>
    </row>
    <row r="16" spans="1:4">
      <c r="A16" s="47">
        <v>40736</v>
      </c>
      <c r="B16" s="45">
        <v>-3.1426685405627732</v>
      </c>
      <c r="C16" s="45">
        <v>-3.0309665219465596</v>
      </c>
      <c r="D16" s="46">
        <f t="shared" si="0"/>
        <v>-0.11170201861621365</v>
      </c>
    </row>
    <row r="17" spans="1:7">
      <c r="A17" s="44">
        <v>40737</v>
      </c>
      <c r="B17" s="45">
        <v>-4.0996417155770946</v>
      </c>
      <c r="C17" s="45">
        <v>-3.3660725747201243</v>
      </c>
      <c r="D17" s="46">
        <f t="shared" si="0"/>
        <v>-0.73356914085697023</v>
      </c>
    </row>
    <row r="18" spans="1:7">
      <c r="A18" s="47">
        <v>40738</v>
      </c>
      <c r="B18" s="45">
        <v>-2.5645661804691802</v>
      </c>
      <c r="C18" s="45">
        <v>-2.8317349779048571</v>
      </c>
      <c r="D18" s="46">
        <f t="shared" si="0"/>
        <v>0.2671687974356769</v>
      </c>
    </row>
    <row r="19" spans="1:7">
      <c r="A19" s="44">
        <v>40739</v>
      </c>
      <c r="B19" s="45">
        <v>-4.1180636655090517</v>
      </c>
      <c r="C19" s="45">
        <v>-0.49515304352700995</v>
      </c>
      <c r="D19" s="46">
        <f t="shared" si="0"/>
        <v>-3.6229106219820419</v>
      </c>
    </row>
    <row r="20" spans="1:7">
      <c r="A20" s="44">
        <v>40747</v>
      </c>
      <c r="B20" s="45">
        <v>-2.4708280880677749</v>
      </c>
      <c r="C20" s="45">
        <v>-7.4597600114180427</v>
      </c>
      <c r="D20" s="46">
        <f t="shared" si="0"/>
        <v>4.9889319233502682</v>
      </c>
      <c r="G20" s="48"/>
    </row>
    <row r="21" spans="1:7">
      <c r="A21" s="44">
        <v>40749</v>
      </c>
      <c r="B21" s="45">
        <v>-4.4333737014054666</v>
      </c>
      <c r="C21" s="45">
        <v>-3.5881025419322827</v>
      </c>
      <c r="D21" s="46">
        <f t="shared" si="0"/>
        <v>-0.84527115947318388</v>
      </c>
    </row>
    <row r="22" spans="1:7">
      <c r="A22" s="47">
        <v>40750</v>
      </c>
      <c r="B22" s="45">
        <v>-3.0537649451170146</v>
      </c>
      <c r="C22" s="45">
        <v>-4.9677112982207303</v>
      </c>
      <c r="D22" s="46">
        <f t="shared" si="0"/>
        <v>1.9139463531037157</v>
      </c>
    </row>
    <row r="23" spans="1:7">
      <c r="A23" s="44">
        <v>40751</v>
      </c>
      <c r="B23" s="45">
        <v>-7.571462030034259</v>
      </c>
      <c r="C23" s="45">
        <v>-2.4756625830795103</v>
      </c>
      <c r="D23" s="46">
        <f t="shared" si="0"/>
        <v>-5.0957994469547483</v>
      </c>
    </row>
    <row r="24" spans="1:7">
      <c r="A24" s="44">
        <v>40757</v>
      </c>
      <c r="B24" s="46">
        <v>-3.6998045605484973</v>
      </c>
      <c r="C24" s="46">
        <v>-4.2341421554198551</v>
      </c>
      <c r="D24" s="46">
        <f t="shared" si="0"/>
        <v>0.53433759487135779</v>
      </c>
    </row>
    <row r="25" spans="1:7">
      <c r="A25" s="44">
        <v>40763</v>
      </c>
      <c r="B25" s="46">
        <v>2.0178620086470027</v>
      </c>
      <c r="C25" s="46">
        <v>0.7937200361970056</v>
      </c>
      <c r="D25" s="46">
        <f t="shared" si="0"/>
        <v>1.2241419724499971</v>
      </c>
    </row>
    <row r="26" spans="1:7">
      <c r="A26" s="44">
        <v>40764</v>
      </c>
      <c r="B26" s="46">
        <v>5.7340526993132999</v>
      </c>
      <c r="C26" s="46">
        <v>4.0872751455891709</v>
      </c>
      <c r="D26" s="46">
        <f t="shared" si="0"/>
        <v>1.6467775537241289</v>
      </c>
    </row>
    <row r="27" spans="1:7">
      <c r="A27" s="44">
        <v>40768</v>
      </c>
      <c r="B27" s="46">
        <v>4.6653775056827671</v>
      </c>
      <c r="C27" s="46">
        <v>6.3121550613508051</v>
      </c>
      <c r="D27" s="46">
        <f t="shared" si="0"/>
        <v>-1.646777555668038</v>
      </c>
    </row>
    <row r="28" spans="1:7">
      <c r="A28" s="44">
        <v>40770</v>
      </c>
      <c r="B28" s="46">
        <v>7.2011909810272368</v>
      </c>
      <c r="C28" s="46">
        <v>8.0026973772220913</v>
      </c>
      <c r="D28" s="46">
        <f t="shared" si="0"/>
        <v>-0.80150639619485453</v>
      </c>
    </row>
    <row r="29" spans="1:7">
      <c r="A29" s="44">
        <v>40772</v>
      </c>
      <c r="B29" s="46">
        <v>-2.7670038706308384</v>
      </c>
      <c r="C29" s="46">
        <v>0.83748480141924242</v>
      </c>
      <c r="D29" s="46">
        <f t="shared" si="0"/>
        <v>-3.6044886720500808</v>
      </c>
    </row>
    <row r="30" spans="1:7">
      <c r="A30" s="44">
        <v>40773</v>
      </c>
      <c r="B30" s="46">
        <v>0.21561767415950289</v>
      </c>
      <c r="C30" s="46">
        <v>-5.5262213832077398</v>
      </c>
      <c r="D30" s="46">
        <f t="shared" si="0"/>
        <v>5.7418390573672431</v>
      </c>
    </row>
    <row r="31" spans="1:7">
      <c r="A31" s="44">
        <v>40774</v>
      </c>
      <c r="B31" s="46">
        <v>-1.3873951143423888</v>
      </c>
      <c r="C31" s="46">
        <v>-4.6809502237345555</v>
      </c>
      <c r="D31" s="46">
        <f t="shared" si="0"/>
        <v>3.2935551093921669</v>
      </c>
    </row>
    <row r="32" spans="1:7">
      <c r="A32" s="44">
        <v>40775</v>
      </c>
      <c r="B32" s="46">
        <v>-1.3873951143423888</v>
      </c>
      <c r="C32" s="46">
        <v>-4.190377392141527</v>
      </c>
      <c r="D32" s="46">
        <f t="shared" si="0"/>
        <v>2.8029822777991384</v>
      </c>
    </row>
    <row r="33" spans="1:4">
      <c r="A33" s="44">
        <v>40777</v>
      </c>
      <c r="B33" s="46">
        <v>-2.1209642582744372</v>
      </c>
      <c r="C33" s="46">
        <v>-5.3028173490503896</v>
      </c>
      <c r="D33" s="46">
        <f t="shared" si="0"/>
        <v>3.1818530907759524</v>
      </c>
    </row>
    <row r="34" spans="1:4">
      <c r="A34" s="44">
        <v>40787</v>
      </c>
      <c r="B34" s="46">
        <v>-0.62965348531366017</v>
      </c>
      <c r="C34" s="46">
        <v>5.1997151024980228</v>
      </c>
      <c r="D34" s="46">
        <f t="shared" si="0"/>
        <v>-5.8293685878116825</v>
      </c>
    </row>
    <row r="35" spans="1:4">
      <c r="A35" s="44">
        <v>40788</v>
      </c>
      <c r="B35" s="46">
        <v>5.1997151024980566</v>
      </c>
      <c r="C35" s="46">
        <v>4.0435103803669561</v>
      </c>
      <c r="D35" s="46">
        <f t="shared" si="0"/>
        <v>1.1562047221311005</v>
      </c>
    </row>
    <row r="36" spans="1:4">
      <c r="A36" s="44">
        <v>40789</v>
      </c>
      <c r="B36" s="46">
        <v>6.1129235122901369</v>
      </c>
      <c r="C36" s="46">
        <v>0.52655123681743943</v>
      </c>
      <c r="D36" s="46">
        <f t="shared" si="0"/>
        <v>5.5863722754726979</v>
      </c>
    </row>
    <row r="37" spans="1:4">
      <c r="A37" s="44">
        <v>40791</v>
      </c>
      <c r="B37" s="46">
        <v>3.0623647152369893</v>
      </c>
      <c r="C37" s="46">
        <v>-0.54212395681309344</v>
      </c>
      <c r="D37" s="46">
        <f>B37-C37</f>
        <v>3.6044886720500826</v>
      </c>
    </row>
    <row r="38" spans="1:4">
      <c r="A38" s="44">
        <v>40792</v>
      </c>
      <c r="B38" s="46">
        <v>3.3295335126726693</v>
      </c>
      <c r="C38" s="46">
        <v>-0.8530575194710075</v>
      </c>
      <c r="D38" s="46">
        <f t="shared" ref="D38:D60" si="1">B38-C38</f>
        <v>4.1825910321436766</v>
      </c>
    </row>
    <row r="39" spans="1:4">
      <c r="A39" s="44">
        <v>40793</v>
      </c>
      <c r="B39" s="46">
        <v>1.7944579744896756</v>
      </c>
      <c r="C39" s="46">
        <v>2.3287955713049433</v>
      </c>
      <c r="D39" s="46">
        <f t="shared" si="1"/>
        <v>-0.53433759681526771</v>
      </c>
    </row>
    <row r="40" spans="1:4">
      <c r="A40" s="44">
        <v>40794</v>
      </c>
      <c r="B40" s="46">
        <v>-7.7863599978279666E-3</v>
      </c>
      <c r="C40" s="46">
        <v>0.52655123681743943</v>
      </c>
      <c r="D40" s="46">
        <f t="shared" si="1"/>
        <v>-0.53433759681526738</v>
      </c>
    </row>
    <row r="41" spans="1:4">
      <c r="A41" s="44">
        <v>40799</v>
      </c>
      <c r="B41" s="46">
        <v>4.6216127404605514</v>
      </c>
      <c r="C41" s="46">
        <v>6.2683902961285893</v>
      </c>
      <c r="D41" s="46">
        <f t="shared" si="1"/>
        <v>-1.646777555668038</v>
      </c>
    </row>
    <row r="42" spans="1:4">
      <c r="A42" s="44">
        <v>40800</v>
      </c>
      <c r="B42" s="46">
        <v>4.0435103803669561</v>
      </c>
      <c r="C42" s="46">
        <v>3.8201063462096068</v>
      </c>
      <c r="D42" s="46">
        <f t="shared" si="1"/>
        <v>0.22340403415734933</v>
      </c>
    </row>
    <row r="43" spans="1:4">
      <c r="A43" s="44">
        <v>40801</v>
      </c>
      <c r="B43" s="46">
        <v>3.1303019655558866</v>
      </c>
      <c r="C43" s="46">
        <v>3.8201063462096068</v>
      </c>
      <c r="D43" s="46">
        <f t="shared" si="1"/>
        <v>-0.68980438065372018</v>
      </c>
    </row>
    <row r="44" spans="1:4">
      <c r="A44" s="44">
        <v>40803</v>
      </c>
      <c r="B44" s="46">
        <v>3.1303019655558866</v>
      </c>
      <c r="C44" s="46">
        <v>6.0150890321070294E-2</v>
      </c>
      <c r="D44" s="46">
        <f t="shared" si="1"/>
        <v>3.0701510752348162</v>
      </c>
    </row>
    <row r="45" spans="1:4">
      <c r="A45" s="44">
        <v>40805</v>
      </c>
      <c r="B45" s="46">
        <v>3.3974707649354756</v>
      </c>
      <c r="C45" s="46">
        <v>1.0608888336327071</v>
      </c>
      <c r="D45" s="46">
        <f t="shared" si="1"/>
        <v>2.3365819313027685</v>
      </c>
    </row>
    <row r="46" spans="1:4">
      <c r="A46" s="44">
        <v>40806</v>
      </c>
      <c r="B46" s="46">
        <v>4.6653775056827902</v>
      </c>
      <c r="C46" s="46">
        <v>2.7076663873568365</v>
      </c>
      <c r="D46" s="46">
        <f t="shared" si="1"/>
        <v>1.9577111183259537</v>
      </c>
    </row>
    <row r="47" spans="1:4">
      <c r="A47" s="44">
        <v>40807</v>
      </c>
      <c r="B47" s="46">
        <v>4.2427419244086586</v>
      </c>
      <c r="C47" s="46">
        <v>2.8193684028979713</v>
      </c>
      <c r="D47" s="46">
        <f t="shared" si="1"/>
        <v>1.4233735215106873</v>
      </c>
    </row>
    <row r="48" spans="1:4">
      <c r="A48" s="44">
        <v>40808</v>
      </c>
      <c r="B48" s="46">
        <v>4.398208706303202</v>
      </c>
      <c r="C48" s="46">
        <v>1.9061599931058901</v>
      </c>
      <c r="D48" s="46">
        <f t="shared" si="1"/>
        <v>2.4920487131973119</v>
      </c>
    </row>
    <row r="49" spans="1:4">
      <c r="A49" s="44">
        <v>40809</v>
      </c>
      <c r="B49" s="46">
        <v>2.8631331681202092</v>
      </c>
      <c r="C49" s="46">
        <v>0.52655123681743943</v>
      </c>
      <c r="D49" s="46">
        <f t="shared" si="1"/>
        <v>2.3365819313027698</v>
      </c>
    </row>
    <row r="50" spans="1:4">
      <c r="A50" s="44">
        <v>40810</v>
      </c>
      <c r="B50" s="46">
        <v>1.0608888336327071</v>
      </c>
      <c r="C50" s="46">
        <v>1.9061599931058901</v>
      </c>
      <c r="D50" s="46">
        <f t="shared" si="1"/>
        <v>-0.84527115947318299</v>
      </c>
    </row>
    <row r="51" spans="1:4">
      <c r="A51" s="44">
        <v>40812</v>
      </c>
      <c r="B51" s="46">
        <v>0.25938243743785111</v>
      </c>
      <c r="C51" s="46">
        <v>3.7084043275933922</v>
      </c>
      <c r="D51" s="46">
        <f t="shared" si="1"/>
        <v>-3.4490218901555409</v>
      </c>
    </row>
    <row r="52" spans="1:4">
      <c r="A52" s="44">
        <v>40813</v>
      </c>
      <c r="B52" s="46">
        <v>2.4842623531994854</v>
      </c>
      <c r="C52" s="46">
        <v>7.2011909810272599</v>
      </c>
      <c r="D52" s="46">
        <f t="shared" si="1"/>
        <v>-4.7169286278277749</v>
      </c>
    </row>
    <row r="53" spans="1:4">
      <c r="A53" s="44">
        <v>40814</v>
      </c>
      <c r="B53" s="46">
        <v>4.7091422689611173</v>
      </c>
      <c r="C53" s="46">
        <v>6.9777869468699087</v>
      </c>
      <c r="D53" s="46">
        <f t="shared" si="1"/>
        <v>-2.2686446779087914</v>
      </c>
    </row>
    <row r="54" spans="1:4">
      <c r="A54" s="44">
        <v>40816</v>
      </c>
      <c r="B54" s="46">
        <v>4.7091422689611173</v>
      </c>
      <c r="C54" s="46">
        <v>3.174066730778125</v>
      </c>
      <c r="D54" s="46">
        <f t="shared" si="1"/>
        <v>1.5350755381829924</v>
      </c>
    </row>
    <row r="55" spans="1:4">
      <c r="A55" s="44">
        <v>40817</v>
      </c>
      <c r="B55" s="46">
        <v>9.0909648470904045</v>
      </c>
      <c r="C55" s="46">
        <v>8.4690977217745758</v>
      </c>
      <c r="D55" s="46">
        <f t="shared" si="1"/>
        <v>0.62186712531582877</v>
      </c>
    </row>
    <row r="56" spans="1:4">
      <c r="A56" s="44">
        <v>40819</v>
      </c>
      <c r="B56" s="46">
        <v>8.4449252316589263</v>
      </c>
      <c r="C56" s="46">
        <v>6.8223201661065369</v>
      </c>
      <c r="D56" s="46">
        <f t="shared" si="1"/>
        <v>1.6226050655523894</v>
      </c>
    </row>
    <row r="57" spans="1:4">
      <c r="A57" s="44">
        <v>40820</v>
      </c>
      <c r="B57" s="46">
        <v>11.004911200194123</v>
      </c>
      <c r="C57" s="46">
        <v>8.2019289223949858</v>
      </c>
      <c r="D57" s="46">
        <f t="shared" si="1"/>
        <v>2.8029822777991367</v>
      </c>
    </row>
    <row r="58" spans="1:4">
      <c r="A58" s="44">
        <v>40821</v>
      </c>
      <c r="B58" s="46">
        <v>10.159640040720939</v>
      </c>
      <c r="C58" s="46">
        <v>8.3573957031583586</v>
      </c>
      <c r="D58" s="46">
        <f t="shared" si="1"/>
        <v>1.8022443375625805</v>
      </c>
    </row>
    <row r="59" spans="1:4">
      <c r="A59" s="44">
        <v>40822</v>
      </c>
      <c r="B59" s="46">
        <v>10.159640040720939</v>
      </c>
      <c r="C59" s="46">
        <v>9.6253024439056709</v>
      </c>
      <c r="D59" s="46">
        <f t="shared" si="1"/>
        <v>0.53433759681526816</v>
      </c>
    </row>
    <row r="60" spans="1:4">
      <c r="A60" s="44">
        <v>40826</v>
      </c>
      <c r="B60" s="46">
        <v>9.0472000818681693</v>
      </c>
      <c r="C60" s="46">
        <v>15.678075060855749</v>
      </c>
      <c r="D60" s="46">
        <f t="shared" si="1"/>
        <v>-6.6308749789875794</v>
      </c>
    </row>
    <row r="61" spans="1:4">
      <c r="A61" s="44">
        <v>40827</v>
      </c>
      <c r="B61" s="46">
        <v>10.737742400814534</v>
      </c>
      <c r="C61" s="46">
        <v>14.677337122563102</v>
      </c>
      <c r="D61" s="46">
        <f>B61-C61</f>
        <v>-3.9395947217485681</v>
      </c>
    </row>
    <row r="62" spans="1:4">
      <c r="A62" s="44">
        <v>40831</v>
      </c>
      <c r="B62" s="46">
        <v>26.06753143270118</v>
      </c>
      <c r="C62" s="46">
        <v>26.06753143270118</v>
      </c>
      <c r="D62" s="46">
        <f>B62-C62</f>
        <v>0</v>
      </c>
    </row>
    <row r="63" spans="1:4">
      <c r="A63" s="44">
        <v>40833</v>
      </c>
      <c r="B63" s="46">
        <v>32.742171176911008</v>
      </c>
      <c r="C63" s="46">
        <v>35.345921908724534</v>
      </c>
      <c r="D63" s="46">
        <f t="shared" ref="D63:D99" si="2">B63-C63</f>
        <v>-2.6037507318135269</v>
      </c>
    </row>
    <row r="64" spans="1:4">
      <c r="A64" s="44">
        <v>40834</v>
      </c>
      <c r="B64" s="46">
        <v>41.865094872170978</v>
      </c>
      <c r="C64" s="46">
        <v>43.511872427839016</v>
      </c>
      <c r="D64" s="46">
        <f t="shared" si="2"/>
        <v>-1.646777555668038</v>
      </c>
    </row>
    <row r="65" spans="1:4">
      <c r="A65" s="44">
        <v>40835</v>
      </c>
      <c r="B65" s="46">
        <v>48.806903416891558</v>
      </c>
      <c r="C65" s="46">
        <v>49.919343372669246</v>
      </c>
      <c r="D65" s="46">
        <f t="shared" si="2"/>
        <v>-1.1124399557776883</v>
      </c>
    </row>
    <row r="66" spans="1:4">
      <c r="A66" s="44">
        <v>40836</v>
      </c>
      <c r="B66" s="46">
        <v>56.681512648454699</v>
      </c>
      <c r="C66" s="46">
        <v>59.377373120702792</v>
      </c>
      <c r="D66" s="46">
        <f t="shared" si="2"/>
        <v>-2.6958604722480928</v>
      </c>
    </row>
    <row r="67" spans="1:4">
      <c r="A67" s="44">
        <v>40837</v>
      </c>
      <c r="B67" s="46">
        <v>72.168142525266589</v>
      </c>
      <c r="C67" s="46">
        <v>74.0820888783703</v>
      </c>
      <c r="D67" s="46">
        <f t="shared" si="2"/>
        <v>-1.9139463531037109</v>
      </c>
    </row>
    <row r="68" spans="1:4">
      <c r="A68" s="44">
        <v>40838</v>
      </c>
      <c r="B68" s="46">
        <v>90.948327516489627</v>
      </c>
      <c r="C68" s="46">
        <v>91.881128201388279</v>
      </c>
      <c r="D68" s="46">
        <f t="shared" si="2"/>
        <v>-0.93280068489865187</v>
      </c>
    </row>
    <row r="69" spans="1:4">
      <c r="A69" s="44">
        <v>40840</v>
      </c>
      <c r="B69" s="46">
        <v>113.28465619451244</v>
      </c>
      <c r="C69" s="46">
        <v>127.08074375739693</v>
      </c>
      <c r="D69" s="46">
        <f t="shared" si="2"/>
        <v>-13.796087562884495</v>
      </c>
    </row>
    <row r="70" spans="1:4">
      <c r="A70" s="44">
        <v>40841</v>
      </c>
      <c r="B70" s="46">
        <v>128.28071324280634</v>
      </c>
      <c r="C70" s="46">
        <v>143.72357835633991</v>
      </c>
      <c r="D70" s="46">
        <f t="shared" si="2"/>
        <v>-15.442865113533571</v>
      </c>
    </row>
    <row r="71" spans="1:4">
      <c r="A71" s="44">
        <v>40843</v>
      </c>
      <c r="B71" s="46">
        <v>156.80568904845501</v>
      </c>
      <c r="C71" s="46">
        <v>177.18430661511482</v>
      </c>
      <c r="D71" s="46">
        <f t="shared" si="2"/>
        <v>-20.378617566659813</v>
      </c>
    </row>
    <row r="72" spans="1:4">
      <c r="A72" s="44">
        <v>40844</v>
      </c>
      <c r="B72" s="46">
        <v>188.39623572047958</v>
      </c>
      <c r="C72" s="46">
        <v>199.96744336452738</v>
      </c>
      <c r="D72" s="46">
        <f t="shared" si="2"/>
        <v>-11.571207644047803</v>
      </c>
    </row>
    <row r="73" spans="1:4">
      <c r="A73" s="44">
        <v>40845</v>
      </c>
      <c r="B73" s="46">
        <v>208.80360598417005</v>
      </c>
      <c r="C73" s="46">
        <v>210.78090938067763</v>
      </c>
      <c r="D73" s="46">
        <f t="shared" si="2"/>
        <v>-1.9773033965075797</v>
      </c>
    </row>
    <row r="74" spans="1:4">
      <c r="A74" s="44">
        <v>40848</v>
      </c>
      <c r="B74" s="46">
        <v>224.97546002970162</v>
      </c>
      <c r="C74" s="46">
        <v>222.6388780953238</v>
      </c>
      <c r="D74" s="46">
        <f t="shared" si="2"/>
        <v>2.3365819343778185</v>
      </c>
    </row>
    <row r="75" spans="1:4">
      <c r="A75" s="44">
        <v>40849</v>
      </c>
      <c r="B75" s="46">
        <v>226.88940638280536</v>
      </c>
      <c r="C75" s="46">
        <v>226.19960200409554</v>
      </c>
      <c r="D75" s="46">
        <f t="shared" si="2"/>
        <v>0.68980437870982314</v>
      </c>
    </row>
    <row r="76" spans="1:4">
      <c r="A76" s="44">
        <v>40850</v>
      </c>
      <c r="B76" s="46">
        <v>229.00258427995078</v>
      </c>
      <c r="C76" s="46">
        <v>229.84785543942394</v>
      </c>
      <c r="D76" s="46">
        <f t="shared" si="2"/>
        <v>-0.84527115947315679</v>
      </c>
    </row>
    <row r="77" spans="1:4">
      <c r="A77" s="44">
        <v>40851</v>
      </c>
      <c r="B77" s="46">
        <v>232.29613938934295</v>
      </c>
      <c r="C77" s="46">
        <v>232.60707295200083</v>
      </c>
      <c r="D77" s="46">
        <f t="shared" si="2"/>
        <v>-0.31093356265787975</v>
      </c>
    </row>
    <row r="78" spans="1:4">
      <c r="A78" s="44">
        <v>40852</v>
      </c>
      <c r="B78" s="46">
        <v>233.56404612701516</v>
      </c>
      <c r="C78" s="46">
        <v>234.40931728648835</v>
      </c>
      <c r="D78" s="46">
        <f t="shared" si="2"/>
        <v>-0.84527115947318521</v>
      </c>
    </row>
    <row r="79" spans="1:4">
      <c r="A79" s="44">
        <v>40854</v>
      </c>
      <c r="B79" s="46">
        <v>234.94365488330359</v>
      </c>
      <c r="C79" s="46">
        <v>238.97077913662781</v>
      </c>
      <c r="D79" s="46">
        <f t="shared" si="2"/>
        <v>-4.0271242533242173</v>
      </c>
    </row>
    <row r="80" spans="1:4">
      <c r="A80" s="44">
        <v>40855</v>
      </c>
      <c r="B80" s="46">
        <v>235.4779924801189</v>
      </c>
      <c r="C80" s="46">
        <v>245.13525377219412</v>
      </c>
      <c r="D80" s="46">
        <f t="shared" si="2"/>
        <v>-9.6572612920752192</v>
      </c>
    </row>
    <row r="81" spans="1:4">
      <c r="A81" s="44">
        <v>40857</v>
      </c>
      <c r="B81" s="46">
        <v>242.26433424602001</v>
      </c>
      <c r="C81" s="46">
        <v>249.36160956956002</v>
      </c>
      <c r="D81" s="46">
        <f t="shared" si="2"/>
        <v>-7.0972753235400035</v>
      </c>
    </row>
    <row r="82" spans="1:4">
      <c r="A82" s="44">
        <v>40858</v>
      </c>
      <c r="B82" s="46">
        <v>243.1096054054932</v>
      </c>
      <c r="C82" s="46">
        <v>252.34423111629428</v>
      </c>
      <c r="D82" s="46">
        <f t="shared" si="2"/>
        <v>-9.2346257108010832</v>
      </c>
    </row>
    <row r="83" spans="1:4">
      <c r="A83" s="44">
        <v>40859</v>
      </c>
      <c r="B83" s="46">
        <v>246.29145849626914</v>
      </c>
      <c r="C83" s="46">
        <v>257.01739498197492</v>
      </c>
      <c r="D83" s="46">
        <f t="shared" si="2"/>
        <v>-10.725936485705773</v>
      </c>
    </row>
    <row r="84" spans="1:4">
      <c r="A84" s="44">
        <v>40861</v>
      </c>
      <c r="B84" s="46">
        <v>279.26619413149717</v>
      </c>
      <c r="C84" s="46">
        <v>288.70005139135895</v>
      </c>
      <c r="D84" s="46">
        <f t="shared" si="2"/>
        <v>-9.4338572598617816</v>
      </c>
    </row>
    <row r="85" spans="1:4">
      <c r="A85" s="44">
        <v>40862</v>
      </c>
      <c r="B85" s="46">
        <v>297.82297508856288</v>
      </c>
      <c r="C85" s="46">
        <v>301.33993422903728</v>
      </c>
      <c r="D85" s="46">
        <f t="shared" si="2"/>
        <v>-3.5169591404743983</v>
      </c>
    </row>
    <row r="86" spans="1:4">
      <c r="A86" s="44">
        <v>40863</v>
      </c>
      <c r="B86" s="46">
        <v>306.63496521808986</v>
      </c>
      <c r="C86" s="46">
        <v>312.99867140271681</v>
      </c>
      <c r="D86" s="46">
        <f t="shared" si="2"/>
        <v>-6.3637061846269489</v>
      </c>
    </row>
    <row r="87" spans="1:4">
      <c r="A87" s="44">
        <v>40864</v>
      </c>
      <c r="B87" s="46">
        <v>316.06882247795164</v>
      </c>
      <c r="C87" s="46">
        <v>310.9488505459002</v>
      </c>
      <c r="D87" s="46">
        <f t="shared" si="2"/>
        <v>5.1199719320514419</v>
      </c>
    </row>
    <row r="88" spans="1:4">
      <c r="A88" s="44">
        <v>40865</v>
      </c>
      <c r="B88" s="46">
        <v>323.50120385313409</v>
      </c>
      <c r="C88" s="46">
        <v>325.50267973473836</v>
      </c>
      <c r="D88" s="46">
        <f t="shared" si="2"/>
        <v>-2.0014758816042786</v>
      </c>
    </row>
    <row r="89" spans="1:4">
      <c r="A89" s="44">
        <v>40866</v>
      </c>
      <c r="B89" s="46">
        <v>333.02259064149644</v>
      </c>
      <c r="C89" s="46">
        <v>335.55840411991596</v>
      </c>
      <c r="D89" s="46">
        <f t="shared" si="2"/>
        <v>-2.5358134784195272</v>
      </c>
    </row>
    <row r="90" spans="1:4">
      <c r="A90" s="44">
        <v>40868</v>
      </c>
      <c r="B90" s="46">
        <v>341.16436867049521</v>
      </c>
      <c r="C90" s="46">
        <v>345.52659897157406</v>
      </c>
      <c r="D90" s="46">
        <f t="shared" si="2"/>
        <v>-4.3622303010788528</v>
      </c>
    </row>
    <row r="91" spans="1:4">
      <c r="A91" s="44">
        <v>40869</v>
      </c>
      <c r="B91" s="46">
        <v>344.23451974573004</v>
      </c>
      <c r="C91" s="46">
        <v>350.90915949107102</v>
      </c>
      <c r="D91" s="46">
        <f t="shared" si="2"/>
        <v>-6.6746397453409827</v>
      </c>
    </row>
    <row r="92" spans="1:4">
      <c r="A92" s="44">
        <v>40870</v>
      </c>
      <c r="B92" s="46">
        <v>347.52807485317834</v>
      </c>
      <c r="C92" s="46">
        <v>367.86292765461587</v>
      </c>
      <c r="D92" s="46">
        <f t="shared" si="2"/>
        <v>-20.334852801437535</v>
      </c>
    </row>
    <row r="93" spans="1:4">
      <c r="A93" s="44">
        <v>40871</v>
      </c>
      <c r="B93" s="46">
        <v>357.49626970678037</v>
      </c>
      <c r="C93" s="46">
        <v>384.28235822134536</v>
      </c>
      <c r="D93" s="46">
        <f t="shared" si="2"/>
        <v>-26.786088514564995</v>
      </c>
    </row>
    <row r="94" spans="1:4">
      <c r="A94" s="44">
        <v>40872</v>
      </c>
      <c r="B94" s="46">
        <v>357.49626970678037</v>
      </c>
      <c r="C94" s="46">
        <v>381.9699487751393</v>
      </c>
      <c r="D94" s="46">
        <f t="shared" si="2"/>
        <v>-24.473679068358933</v>
      </c>
    </row>
    <row r="95" spans="1:4">
      <c r="A95" s="44">
        <v>40873</v>
      </c>
      <c r="B95" s="46">
        <v>379.52166482522034</v>
      </c>
      <c r="C95" s="46">
        <v>392.42413624840032</v>
      </c>
      <c r="D95" s="46">
        <f t="shared" si="2"/>
        <v>-12.902471423179975</v>
      </c>
    </row>
    <row r="96" spans="1:4">
      <c r="A96" s="44">
        <v>40874</v>
      </c>
      <c r="B96" s="46">
        <v>407.9107661302312</v>
      </c>
      <c r="C96" s="46">
        <v>410.53868934908525</v>
      </c>
      <c r="D96" s="46">
        <f t="shared" si="2"/>
        <v>-2.6279232188540504</v>
      </c>
    </row>
    <row r="97" spans="1:4">
      <c r="A97" s="44">
        <v>40875</v>
      </c>
      <c r="B97" s="46">
        <v>430.19584944250659</v>
      </c>
      <c r="C97" s="46">
        <v>436.88255000726963</v>
      </c>
      <c r="D97" s="46">
        <f t="shared" si="2"/>
        <v>-6.6867005647630435</v>
      </c>
    </row>
    <row r="98" spans="1:4">
      <c r="A98" s="44">
        <v>40876</v>
      </c>
      <c r="B98" s="46">
        <v>449.69749190000522</v>
      </c>
      <c r="C98" s="46">
        <v>449.69749190000522</v>
      </c>
      <c r="D98" s="46">
        <f t="shared" si="2"/>
        <v>0</v>
      </c>
    </row>
    <row r="99" spans="1:4">
      <c r="A99" s="44">
        <v>40877</v>
      </c>
      <c r="B99" s="46">
        <v>457.55250885646177</v>
      </c>
      <c r="C99" s="46">
        <v>456.90646924410532</v>
      </c>
      <c r="D99" s="46">
        <f t="shared" si="2"/>
        <v>0.64603961235644647</v>
      </c>
    </row>
    <row r="100" spans="1:4">
      <c r="A100" s="44">
        <v>40878</v>
      </c>
      <c r="B100" s="46">
        <v>460.9</v>
      </c>
      <c r="C100" s="46">
        <v>453.6</v>
      </c>
      <c r="D100" s="46">
        <f>B100-C100</f>
        <v>7.2999999999999545</v>
      </c>
    </row>
    <row r="101" spans="1:4">
      <c r="A101" s="44">
        <v>40879</v>
      </c>
      <c r="B101" s="46">
        <v>458.2</v>
      </c>
      <c r="C101" s="46">
        <v>453.7</v>
      </c>
      <c r="D101" s="46">
        <f t="shared" ref="D101:D123" si="3">B101-C101</f>
        <v>4.5</v>
      </c>
    </row>
    <row r="102" spans="1:4">
      <c r="A102" s="44">
        <v>40880</v>
      </c>
      <c r="B102" s="46">
        <v>457.1</v>
      </c>
      <c r="C102" s="46">
        <v>456.5</v>
      </c>
      <c r="D102" s="46">
        <f t="shared" si="3"/>
        <v>0.60000000000002274</v>
      </c>
    </row>
    <row r="103" spans="1:4">
      <c r="A103" s="44">
        <v>40883</v>
      </c>
      <c r="B103" s="46">
        <v>455.5</v>
      </c>
      <c r="C103" s="46">
        <v>456.5</v>
      </c>
      <c r="D103" s="46">
        <f t="shared" si="3"/>
        <v>-1</v>
      </c>
    </row>
    <row r="104" spans="1:4">
      <c r="A104" s="44">
        <v>40884</v>
      </c>
      <c r="B104" s="46">
        <v>454.8</v>
      </c>
      <c r="C104" s="46">
        <v>460.7</v>
      </c>
      <c r="D104" s="46">
        <f t="shared" si="3"/>
        <v>-5.8999999999999773</v>
      </c>
    </row>
    <row r="105" spans="1:4">
      <c r="A105" s="44">
        <v>40885</v>
      </c>
      <c r="B105" s="46">
        <v>454.9</v>
      </c>
      <c r="C105" s="46">
        <v>462.4</v>
      </c>
      <c r="D105" s="46">
        <f t="shared" si="3"/>
        <v>-7.5</v>
      </c>
    </row>
    <row r="106" spans="1:4">
      <c r="A106" s="44">
        <v>40886</v>
      </c>
      <c r="B106" s="46">
        <v>456.4</v>
      </c>
      <c r="C106" s="46">
        <v>460.8</v>
      </c>
      <c r="D106" s="46">
        <f t="shared" si="3"/>
        <v>-4.4000000000000341</v>
      </c>
    </row>
    <row r="107" spans="1:4">
      <c r="A107" s="44">
        <v>40887</v>
      </c>
      <c r="B107" s="46">
        <v>455.4</v>
      </c>
      <c r="C107" s="46">
        <v>459.7</v>
      </c>
      <c r="D107" s="46">
        <f t="shared" si="3"/>
        <v>-4.3000000000000114</v>
      </c>
    </row>
    <row r="108" spans="1:4">
      <c r="A108" s="44">
        <v>40890</v>
      </c>
      <c r="B108" s="46">
        <v>455.1</v>
      </c>
      <c r="C108" s="46">
        <v>457.2</v>
      </c>
      <c r="D108" s="46">
        <f t="shared" si="3"/>
        <v>-2.0999999999999659</v>
      </c>
    </row>
    <row r="109" spans="1:4">
      <c r="A109" s="44">
        <v>40891</v>
      </c>
      <c r="B109" s="46">
        <v>456.3</v>
      </c>
      <c r="C109" s="46">
        <v>458.6</v>
      </c>
      <c r="D109" s="46">
        <f t="shared" si="3"/>
        <v>-2.3000000000000114</v>
      </c>
    </row>
    <row r="110" spans="1:4">
      <c r="A110" s="44">
        <v>40892</v>
      </c>
      <c r="B110" s="46">
        <v>457.9</v>
      </c>
      <c r="C110" s="46">
        <v>457.6</v>
      </c>
      <c r="D110" s="46">
        <f t="shared" si="3"/>
        <v>0.29999999999995453</v>
      </c>
    </row>
    <row r="111" spans="1:4">
      <c r="A111" s="44">
        <v>40893</v>
      </c>
      <c r="B111" s="46">
        <v>458.7</v>
      </c>
      <c r="C111" s="46">
        <v>457.9</v>
      </c>
      <c r="D111" s="46">
        <f t="shared" si="3"/>
        <v>0.80000000000001137</v>
      </c>
    </row>
    <row r="112" spans="1:4">
      <c r="A112" s="44">
        <v>40894</v>
      </c>
      <c r="B112" s="46">
        <v>460.2</v>
      </c>
      <c r="C112" s="46">
        <v>454.8</v>
      </c>
      <c r="D112" s="46">
        <f t="shared" si="3"/>
        <v>5.3999999999999773</v>
      </c>
    </row>
    <row r="113" spans="1:4">
      <c r="A113" s="44">
        <v>40896</v>
      </c>
      <c r="B113" s="46">
        <v>458.2</v>
      </c>
      <c r="C113" s="46">
        <v>456.9</v>
      </c>
      <c r="D113" s="46">
        <f t="shared" si="3"/>
        <v>1.3000000000000114</v>
      </c>
    </row>
    <row r="114" spans="1:4">
      <c r="A114" s="44">
        <v>40897</v>
      </c>
      <c r="B114" s="46">
        <v>458</v>
      </c>
      <c r="C114" s="46">
        <v>458</v>
      </c>
      <c r="D114" s="46">
        <f t="shared" si="3"/>
        <v>0</v>
      </c>
    </row>
    <row r="115" spans="1:4">
      <c r="A115" s="44">
        <v>40898</v>
      </c>
      <c r="B115" s="46">
        <v>456.5</v>
      </c>
      <c r="C115" s="46">
        <v>459.2</v>
      </c>
      <c r="D115" s="46">
        <f t="shared" si="3"/>
        <v>-2.6999999999999886</v>
      </c>
    </row>
    <row r="116" spans="1:4">
      <c r="A116" s="44">
        <v>40899</v>
      </c>
      <c r="B116" s="46">
        <v>456.6</v>
      </c>
      <c r="C116" s="46">
        <v>460.8</v>
      </c>
      <c r="D116" s="46">
        <f t="shared" si="3"/>
        <v>-4.1999999999999886</v>
      </c>
    </row>
    <row r="117" spans="1:4">
      <c r="A117" s="44">
        <v>40900</v>
      </c>
      <c r="B117" s="46">
        <v>455</v>
      </c>
      <c r="C117" s="46">
        <v>463.3</v>
      </c>
      <c r="D117" s="46">
        <f t="shared" si="3"/>
        <v>-8.3000000000000114</v>
      </c>
    </row>
    <row r="118" spans="1:4">
      <c r="A118" s="44">
        <v>40901</v>
      </c>
      <c r="B118" s="46">
        <v>456.4</v>
      </c>
      <c r="C118" s="46">
        <v>461.6</v>
      </c>
      <c r="D118" s="46">
        <f t="shared" si="3"/>
        <v>-5.2000000000000455</v>
      </c>
    </row>
    <row r="119" spans="1:4">
      <c r="A119" s="44">
        <v>40904</v>
      </c>
      <c r="B119" s="46">
        <v>458.9</v>
      </c>
      <c r="C119" s="46">
        <v>461.7</v>
      </c>
      <c r="D119" s="46">
        <f t="shared" si="3"/>
        <v>-2.8000000000000114</v>
      </c>
    </row>
    <row r="120" spans="1:4">
      <c r="A120" s="44">
        <v>40905</v>
      </c>
      <c r="B120" s="46">
        <v>460</v>
      </c>
      <c r="C120" s="46">
        <v>461</v>
      </c>
      <c r="D120" s="46">
        <f t="shared" si="3"/>
        <v>-1</v>
      </c>
    </row>
    <row r="121" spans="1:4">
      <c r="A121" s="44">
        <v>40906</v>
      </c>
      <c r="B121" s="46">
        <v>461.8</v>
      </c>
      <c r="C121" s="46">
        <v>460.2</v>
      </c>
      <c r="D121" s="46">
        <f t="shared" si="3"/>
        <v>1.6000000000000227</v>
      </c>
    </row>
    <row r="122" spans="1:4">
      <c r="A122" s="44">
        <v>40907</v>
      </c>
      <c r="B122" s="46">
        <v>463.2</v>
      </c>
      <c r="C122" s="46">
        <v>458.4</v>
      </c>
      <c r="D122" s="46">
        <f t="shared" si="3"/>
        <v>4.8000000000000114</v>
      </c>
    </row>
    <row r="123" spans="1:4">
      <c r="A123" s="44">
        <v>40908</v>
      </c>
      <c r="B123" s="46">
        <v>462</v>
      </c>
      <c r="C123" s="46">
        <v>460.2</v>
      </c>
      <c r="D123" s="46">
        <f t="shared" si="3"/>
        <v>1.8000000000000114</v>
      </c>
    </row>
    <row r="124" spans="1:4">
      <c r="A124" s="44">
        <v>40910</v>
      </c>
      <c r="B124" s="46">
        <v>461.2</v>
      </c>
      <c r="C124" s="46">
        <v>459.8</v>
      </c>
      <c r="D124" s="46">
        <f>B124-C124</f>
        <v>1.3999999999999773</v>
      </c>
    </row>
    <row r="125" spans="1:4">
      <c r="A125" s="44">
        <v>40911</v>
      </c>
      <c r="B125" s="46">
        <v>462</v>
      </c>
      <c r="C125" s="46">
        <v>461.4</v>
      </c>
      <c r="D125" s="46">
        <f t="shared" ref="D125:D133" si="4">B125-C125</f>
        <v>0.60000000000002274</v>
      </c>
    </row>
    <row r="126" spans="1:4">
      <c r="A126" s="44">
        <v>40913</v>
      </c>
      <c r="B126" s="46">
        <v>460.1</v>
      </c>
      <c r="C126" s="46">
        <v>462.8</v>
      </c>
      <c r="D126" s="46">
        <f t="shared" si="4"/>
        <v>-2.6999999999999886</v>
      </c>
    </row>
    <row r="127" spans="1:4">
      <c r="A127" s="44">
        <v>40914</v>
      </c>
      <c r="B127" s="46">
        <v>459.6</v>
      </c>
      <c r="C127" s="46">
        <v>463.4</v>
      </c>
      <c r="D127" s="46">
        <f t="shared" si="4"/>
        <v>-3.7999999999999545</v>
      </c>
    </row>
    <row r="128" spans="1:4">
      <c r="A128" s="44">
        <v>40915</v>
      </c>
      <c r="B128" s="46">
        <v>459.2</v>
      </c>
      <c r="C128" s="46">
        <v>464.8</v>
      </c>
      <c r="D128" s="46">
        <f t="shared" si="4"/>
        <v>-5.6000000000000227</v>
      </c>
    </row>
    <row r="129" spans="1:4">
      <c r="A129" s="44">
        <v>40917</v>
      </c>
      <c r="B129" s="46">
        <v>460.8</v>
      </c>
      <c r="C129" s="46">
        <v>466</v>
      </c>
      <c r="D129" s="46">
        <f t="shared" si="4"/>
        <v>-5.1999999999999886</v>
      </c>
    </row>
    <row r="130" spans="1:4">
      <c r="A130" s="44">
        <v>40918</v>
      </c>
      <c r="B130" s="46">
        <v>460.6</v>
      </c>
      <c r="C130" s="46">
        <v>466.5</v>
      </c>
      <c r="D130" s="46">
        <f t="shared" si="4"/>
        <v>-5.8999999999999773</v>
      </c>
    </row>
    <row r="131" spans="1:4">
      <c r="A131" s="44">
        <v>40919</v>
      </c>
      <c r="B131" s="46">
        <v>463.4</v>
      </c>
      <c r="C131" s="46">
        <v>466.7</v>
      </c>
      <c r="D131" s="46">
        <f t="shared" si="4"/>
        <v>-3.3000000000000114</v>
      </c>
    </row>
    <row r="132" spans="1:4">
      <c r="A132" s="44">
        <v>40920</v>
      </c>
      <c r="B132" s="46">
        <v>463.9</v>
      </c>
      <c r="C132" s="46">
        <v>466.7</v>
      </c>
      <c r="D132" s="46">
        <f t="shared" si="4"/>
        <v>-2.8000000000000114</v>
      </c>
    </row>
    <row r="133" spans="1:4">
      <c r="A133" s="44">
        <v>40921</v>
      </c>
      <c r="B133" s="46">
        <v>466.2</v>
      </c>
      <c r="C133" s="46">
        <v>468.9</v>
      </c>
      <c r="D133" s="46">
        <f t="shared" si="4"/>
        <v>-2.6999999999999886</v>
      </c>
    </row>
    <row r="134" spans="1:4">
      <c r="A134" s="44">
        <v>40922</v>
      </c>
      <c r="B134" s="46">
        <v>465.6</v>
      </c>
      <c r="C134" s="46">
        <v>462.6</v>
      </c>
      <c r="D134" s="46">
        <f>B134-C134</f>
        <v>3</v>
      </c>
    </row>
    <row r="135" spans="1:4">
      <c r="A135" s="44">
        <v>40924</v>
      </c>
      <c r="B135" s="46">
        <v>466.2</v>
      </c>
      <c r="C135" s="46">
        <v>464.8</v>
      </c>
      <c r="D135" s="46">
        <f t="shared" ref="D135:D146" si="5">B135-C135</f>
        <v>1.3999999999999773</v>
      </c>
    </row>
    <row r="136" spans="1:4">
      <c r="A136" s="44">
        <v>40925</v>
      </c>
      <c r="B136" s="46">
        <v>465.6</v>
      </c>
      <c r="C136" s="46">
        <v>463.3</v>
      </c>
      <c r="D136" s="46">
        <f t="shared" si="5"/>
        <v>2.3000000000000114</v>
      </c>
    </row>
    <row r="137" spans="1:4">
      <c r="A137" s="44">
        <v>40926</v>
      </c>
      <c r="B137" s="46">
        <v>465.2</v>
      </c>
      <c r="C137" s="46">
        <v>465.5</v>
      </c>
      <c r="D137" s="46">
        <f t="shared" si="5"/>
        <v>-0.30000000000001137</v>
      </c>
    </row>
    <row r="138" spans="1:4">
      <c r="A138" s="44">
        <v>40927</v>
      </c>
      <c r="B138" s="46">
        <v>466.7</v>
      </c>
      <c r="C138" s="46">
        <v>471.3</v>
      </c>
      <c r="D138" s="46">
        <f t="shared" si="5"/>
        <v>-4.6000000000000227</v>
      </c>
    </row>
    <row r="139" spans="1:4">
      <c r="A139" s="44">
        <v>40928</v>
      </c>
      <c r="B139" s="46">
        <v>466.1</v>
      </c>
      <c r="C139" s="46">
        <v>471.9</v>
      </c>
      <c r="D139" s="46">
        <f t="shared" si="5"/>
        <v>-5.7999999999999545</v>
      </c>
    </row>
    <row r="140" spans="1:4">
      <c r="A140" s="44">
        <v>40935</v>
      </c>
      <c r="B140" s="46">
        <v>471.2</v>
      </c>
      <c r="C140" s="46">
        <v>471</v>
      </c>
      <c r="D140" s="46">
        <f t="shared" si="5"/>
        <v>0.19999999999998863</v>
      </c>
    </row>
    <row r="141" spans="1:4">
      <c r="A141" s="44">
        <v>40936</v>
      </c>
      <c r="B141" s="46">
        <v>472.1</v>
      </c>
      <c r="C141" s="46">
        <v>471.2</v>
      </c>
      <c r="D141" s="46">
        <f t="shared" si="5"/>
        <v>0.90000000000003411</v>
      </c>
    </row>
    <row r="142" spans="1:4">
      <c r="A142" s="44">
        <v>40938</v>
      </c>
      <c r="B142" s="46">
        <v>472.7</v>
      </c>
      <c r="C142" s="46">
        <v>470.4</v>
      </c>
      <c r="D142" s="46">
        <f t="shared" si="5"/>
        <v>2.3000000000000114</v>
      </c>
    </row>
    <row r="143" spans="1:4">
      <c r="A143" s="44">
        <v>40939</v>
      </c>
      <c r="B143" s="46">
        <v>473.5</v>
      </c>
      <c r="C143" s="46">
        <v>470.5</v>
      </c>
      <c r="D143" s="46">
        <f t="shared" si="5"/>
        <v>3</v>
      </c>
    </row>
    <row r="144" spans="1:4">
      <c r="A144" s="44">
        <v>40940</v>
      </c>
      <c r="B144" s="46">
        <v>471.6</v>
      </c>
      <c r="C144" s="46">
        <v>470.6</v>
      </c>
      <c r="D144" s="46">
        <f t="shared" si="5"/>
        <v>1</v>
      </c>
    </row>
    <row r="145" spans="1:4">
      <c r="A145" s="44">
        <v>40941</v>
      </c>
      <c r="B145" s="46">
        <v>471.5</v>
      </c>
      <c r="C145" s="46">
        <v>471.3</v>
      </c>
      <c r="D145" s="46">
        <f t="shared" si="5"/>
        <v>0.19999999999998863</v>
      </c>
    </row>
    <row r="146" spans="1:4">
      <c r="A146" s="44">
        <v>40943</v>
      </c>
      <c r="B146" s="46">
        <v>470.5</v>
      </c>
      <c r="C146" s="46">
        <v>474.9</v>
      </c>
      <c r="D146" s="46">
        <f t="shared" si="5"/>
        <v>-4.3999999999999773</v>
      </c>
    </row>
    <row r="147" spans="1:4">
      <c r="A147" s="44">
        <v>40945</v>
      </c>
      <c r="B147" s="46">
        <v>470.3</v>
      </c>
      <c r="C147" s="46">
        <v>477.8</v>
      </c>
      <c r="D147" s="46">
        <f>B147-C147</f>
        <v>-7.5</v>
      </c>
    </row>
    <row r="148" spans="1:4">
      <c r="A148" s="44">
        <v>40946</v>
      </c>
      <c r="B148" s="46">
        <v>471.6</v>
      </c>
      <c r="C148" s="46">
        <v>477.5</v>
      </c>
      <c r="D148" s="46">
        <f t="shared" ref="D148:D154" si="6">B148-C148</f>
        <v>-5.8999999999999773</v>
      </c>
    </row>
    <row r="149" spans="1:4">
      <c r="A149" s="44">
        <v>40947</v>
      </c>
      <c r="B149" s="46">
        <v>472.2</v>
      </c>
      <c r="C149" s="46">
        <v>477.2</v>
      </c>
      <c r="D149" s="46">
        <f t="shared" si="6"/>
        <v>-5</v>
      </c>
    </row>
    <row r="150" spans="1:4">
      <c r="A150" s="44">
        <v>40948</v>
      </c>
      <c r="B150" s="46">
        <v>473.9</v>
      </c>
      <c r="C150" s="46">
        <v>473.4</v>
      </c>
      <c r="D150" s="46">
        <f t="shared" si="6"/>
        <v>0.5</v>
      </c>
    </row>
    <row r="151" spans="1:4">
      <c r="A151" s="44">
        <v>40949</v>
      </c>
      <c r="B151" s="46">
        <v>475.2</v>
      </c>
      <c r="C151" s="46">
        <v>475</v>
      </c>
      <c r="D151" s="46">
        <f t="shared" si="6"/>
        <v>0.19999999999998863</v>
      </c>
    </row>
    <row r="152" spans="1:4">
      <c r="A152" s="44">
        <v>40950</v>
      </c>
      <c r="B152" s="46">
        <v>475.5</v>
      </c>
      <c r="C152" s="46">
        <v>473.4</v>
      </c>
      <c r="D152" s="46">
        <f t="shared" si="6"/>
        <v>2.1000000000000227</v>
      </c>
    </row>
    <row r="153" spans="1:4">
      <c r="A153" s="44">
        <v>40952</v>
      </c>
      <c r="B153" s="46">
        <v>477.9</v>
      </c>
      <c r="C153" s="46">
        <v>473</v>
      </c>
      <c r="D153" s="46">
        <f t="shared" si="6"/>
        <v>4.8999999999999773</v>
      </c>
    </row>
    <row r="154" spans="1:4">
      <c r="A154" s="44">
        <v>40953</v>
      </c>
      <c r="B154" s="46">
        <v>478.5</v>
      </c>
      <c r="C154" s="46">
        <v>473.9</v>
      </c>
      <c r="D154" s="46">
        <f t="shared" si="6"/>
        <v>4.6000000000000227</v>
      </c>
    </row>
    <row r="155" spans="1:4">
      <c r="A155" s="44">
        <v>40954</v>
      </c>
      <c r="B155" s="46">
        <v>479.1</v>
      </c>
      <c r="C155" s="46">
        <v>475.5</v>
      </c>
      <c r="D155" s="46">
        <f>B155-C155</f>
        <v>3.6000000000000227</v>
      </c>
    </row>
    <row r="156" spans="1:4">
      <c r="A156" s="44">
        <v>40955</v>
      </c>
      <c r="B156" s="46">
        <v>478.5</v>
      </c>
      <c r="C156" s="46">
        <v>477.5</v>
      </c>
      <c r="D156" s="46">
        <f t="shared" ref="D156:D199" si="7">B156-C156</f>
        <v>1</v>
      </c>
    </row>
    <row r="157" spans="1:4">
      <c r="A157" s="44">
        <v>40956</v>
      </c>
      <c r="B157" s="46">
        <v>476.1</v>
      </c>
      <c r="C157" s="46">
        <v>473.6</v>
      </c>
      <c r="D157" s="46">
        <f t="shared" si="7"/>
        <v>2.5</v>
      </c>
    </row>
    <row r="158" spans="1:4">
      <c r="A158" s="44">
        <v>40957</v>
      </c>
      <c r="B158" s="46">
        <v>474.5</v>
      </c>
      <c r="C158" s="46">
        <v>480.5</v>
      </c>
      <c r="D158" s="46">
        <f t="shared" si="7"/>
        <v>-6</v>
      </c>
    </row>
    <row r="159" spans="1:4">
      <c r="A159" s="44">
        <v>40959</v>
      </c>
      <c r="B159" s="46">
        <v>476.2</v>
      </c>
      <c r="C159" s="46">
        <v>481.9</v>
      </c>
      <c r="D159" s="46">
        <f t="shared" si="7"/>
        <v>-5.6999999999999886</v>
      </c>
    </row>
    <row r="160" spans="1:4">
      <c r="A160" s="44">
        <v>40960</v>
      </c>
      <c r="B160" s="46">
        <v>477.2</v>
      </c>
      <c r="C160" s="46">
        <v>481.9</v>
      </c>
      <c r="D160" s="46">
        <f t="shared" si="7"/>
        <v>-4.6999999999999886</v>
      </c>
    </row>
    <row r="161" spans="1:4">
      <c r="A161" s="44">
        <v>40961</v>
      </c>
      <c r="B161" s="46">
        <v>479</v>
      </c>
      <c r="C161" s="46">
        <v>480.5</v>
      </c>
      <c r="D161" s="46">
        <f t="shared" si="7"/>
        <v>-1.5</v>
      </c>
    </row>
    <row r="162" spans="1:4">
      <c r="A162" s="44">
        <v>40962</v>
      </c>
      <c r="B162" s="46">
        <v>478.6</v>
      </c>
      <c r="C162" s="46">
        <v>479.5</v>
      </c>
      <c r="D162" s="46">
        <f t="shared" si="7"/>
        <v>-0.89999999999997726</v>
      </c>
    </row>
    <row r="163" spans="1:4">
      <c r="A163" s="44">
        <v>40963</v>
      </c>
      <c r="B163" s="46">
        <v>479.5</v>
      </c>
      <c r="C163" s="46">
        <v>478.5</v>
      </c>
      <c r="D163" s="46">
        <f t="shared" si="7"/>
        <v>1</v>
      </c>
    </row>
    <row r="164" spans="1:4">
      <c r="A164" s="44">
        <v>40966</v>
      </c>
      <c r="B164" s="46">
        <v>480.4</v>
      </c>
      <c r="C164" s="46">
        <v>477.5</v>
      </c>
      <c r="D164" s="46">
        <f t="shared" si="7"/>
        <v>2.8999999999999773</v>
      </c>
    </row>
    <row r="165" spans="1:4">
      <c r="A165" s="44">
        <v>40967</v>
      </c>
      <c r="B165" s="46">
        <v>480.2</v>
      </c>
      <c r="C165" s="46">
        <v>476.5</v>
      </c>
      <c r="D165" s="46">
        <f t="shared" si="7"/>
        <v>3.6999999999999886</v>
      </c>
    </row>
    <row r="166" spans="1:4">
      <c r="A166" s="44">
        <v>40968</v>
      </c>
      <c r="B166" s="46">
        <v>479.5</v>
      </c>
      <c r="C166" s="46">
        <v>475.4</v>
      </c>
      <c r="D166" s="46">
        <f t="shared" si="7"/>
        <v>4.1000000000000227</v>
      </c>
    </row>
    <row r="167" spans="1:4">
      <c r="A167" s="44">
        <v>40969</v>
      </c>
      <c r="B167" s="46">
        <v>479.6</v>
      </c>
      <c r="C167" s="46">
        <v>477.1</v>
      </c>
      <c r="D167" s="46">
        <f t="shared" si="7"/>
        <v>2.5</v>
      </c>
    </row>
    <row r="168" spans="1:4">
      <c r="A168" s="44">
        <v>40970</v>
      </c>
      <c r="B168" s="46">
        <v>477.9</v>
      </c>
      <c r="C168" s="46">
        <v>477.5</v>
      </c>
      <c r="D168" s="46">
        <f t="shared" si="7"/>
        <v>0.39999999999997726</v>
      </c>
    </row>
    <row r="169" spans="1:4">
      <c r="A169" s="44">
        <v>40971</v>
      </c>
      <c r="B169" s="46">
        <v>477.9</v>
      </c>
      <c r="C169" s="46">
        <v>477.4</v>
      </c>
      <c r="D169" s="46">
        <f t="shared" si="7"/>
        <v>0.5</v>
      </c>
    </row>
    <row r="170" spans="1:4">
      <c r="A170" s="44">
        <v>40973</v>
      </c>
      <c r="B170" s="46">
        <v>474.4</v>
      </c>
      <c r="C170" s="46">
        <v>479.6</v>
      </c>
      <c r="D170" s="46">
        <f t="shared" si="7"/>
        <v>-5.2000000000000455</v>
      </c>
    </row>
    <row r="171" spans="1:4">
      <c r="A171" s="44">
        <v>40974</v>
      </c>
      <c r="B171" s="46">
        <v>475.6</v>
      </c>
      <c r="C171" s="46">
        <v>480.2</v>
      </c>
      <c r="D171" s="46">
        <f t="shared" si="7"/>
        <v>-4.5999999999999659</v>
      </c>
    </row>
    <row r="172" spans="1:4">
      <c r="A172" s="44">
        <v>40975</v>
      </c>
      <c r="B172" s="46">
        <v>476.7</v>
      </c>
      <c r="C172" s="46">
        <v>480.7</v>
      </c>
      <c r="D172" s="46">
        <f t="shared" si="7"/>
        <v>-4</v>
      </c>
    </row>
    <row r="173" spans="1:4">
      <c r="A173" s="44">
        <v>40976</v>
      </c>
      <c r="B173" s="46">
        <v>477.1</v>
      </c>
      <c r="C173" s="46">
        <v>479.1</v>
      </c>
      <c r="D173" s="46">
        <f t="shared" si="7"/>
        <v>-2</v>
      </c>
    </row>
    <row r="174" spans="1:4">
      <c r="A174" s="44">
        <v>40978</v>
      </c>
      <c r="B174" s="46">
        <v>477.7</v>
      </c>
      <c r="C174" s="46">
        <v>473.6</v>
      </c>
      <c r="D174" s="46">
        <f t="shared" si="7"/>
        <v>4.0999999999999659</v>
      </c>
    </row>
    <row r="175" spans="1:4">
      <c r="A175" s="44">
        <v>40980</v>
      </c>
      <c r="B175" s="46">
        <v>477.7</v>
      </c>
      <c r="C175" s="46">
        <v>471.1</v>
      </c>
      <c r="D175" s="46">
        <f t="shared" si="7"/>
        <v>6.5999999999999659</v>
      </c>
    </row>
    <row r="176" spans="1:4">
      <c r="A176" s="44">
        <v>40981</v>
      </c>
      <c r="B176" s="46">
        <v>476.1</v>
      </c>
      <c r="C176" s="46">
        <v>468.4</v>
      </c>
      <c r="D176" s="46">
        <f t="shared" si="7"/>
        <v>7.7000000000000455</v>
      </c>
    </row>
    <row r="177" spans="1:4">
      <c r="A177" s="44">
        <v>40982</v>
      </c>
      <c r="B177" s="46">
        <v>473</v>
      </c>
      <c r="C177" s="46">
        <v>467.4</v>
      </c>
      <c r="D177" s="46">
        <f t="shared" si="7"/>
        <v>5.6000000000000227</v>
      </c>
    </row>
    <row r="178" spans="1:4">
      <c r="A178" s="44">
        <v>40985</v>
      </c>
      <c r="B178" s="46">
        <v>465.8</v>
      </c>
      <c r="C178" s="46">
        <v>466.3</v>
      </c>
      <c r="D178" s="46">
        <f t="shared" si="7"/>
        <v>-0.5</v>
      </c>
    </row>
    <row r="179" spans="1:4">
      <c r="A179" s="44">
        <v>40987</v>
      </c>
      <c r="B179" s="46">
        <v>471.6</v>
      </c>
      <c r="C179" s="46">
        <v>472.1</v>
      </c>
      <c r="D179" s="46">
        <f t="shared" si="7"/>
        <v>-0.5</v>
      </c>
    </row>
    <row r="180" spans="1:4">
      <c r="A180" s="44">
        <v>40988</v>
      </c>
      <c r="B180" s="46">
        <v>469.7</v>
      </c>
      <c r="C180" s="46">
        <v>473.8</v>
      </c>
      <c r="D180" s="46">
        <f t="shared" si="7"/>
        <v>-4.1000000000000227</v>
      </c>
    </row>
    <row r="181" spans="1:4">
      <c r="A181" s="44">
        <v>40990</v>
      </c>
      <c r="B181" s="46">
        <v>471.4</v>
      </c>
      <c r="C181" s="46">
        <v>477.4</v>
      </c>
      <c r="D181" s="46">
        <f t="shared" si="7"/>
        <v>-6</v>
      </c>
    </row>
    <row r="182" spans="1:4">
      <c r="A182" s="44">
        <v>40991</v>
      </c>
      <c r="B182" s="46">
        <v>473</v>
      </c>
      <c r="C182" s="46">
        <v>472.3</v>
      </c>
      <c r="D182" s="46">
        <f t="shared" si="7"/>
        <v>0.69999999999998863</v>
      </c>
    </row>
    <row r="183" spans="1:4">
      <c r="A183" s="44">
        <v>40994</v>
      </c>
      <c r="B183" s="46">
        <v>472.7</v>
      </c>
      <c r="C183" s="46">
        <v>471.9</v>
      </c>
      <c r="D183" s="46">
        <f t="shared" si="7"/>
        <v>0.80000000000001137</v>
      </c>
    </row>
    <row r="184" spans="1:4">
      <c r="A184" s="44">
        <v>40995</v>
      </c>
      <c r="B184" s="46">
        <v>471</v>
      </c>
      <c r="C184" s="46">
        <v>469.6</v>
      </c>
      <c r="D184" s="46">
        <f t="shared" si="7"/>
        <v>1.3999999999999773</v>
      </c>
    </row>
    <row r="185" spans="1:4">
      <c r="A185" s="44">
        <v>41004</v>
      </c>
      <c r="B185" s="46">
        <v>474.9</v>
      </c>
      <c r="C185" s="46">
        <v>475</v>
      </c>
      <c r="D185" s="46">
        <f t="shared" si="7"/>
        <v>-0.10000000000002274</v>
      </c>
    </row>
    <row r="186" spans="1:4">
      <c r="A186" s="44">
        <v>41008</v>
      </c>
      <c r="B186" s="46">
        <v>483.1</v>
      </c>
      <c r="C186" s="46">
        <v>481.4</v>
      </c>
      <c r="D186" s="46">
        <f t="shared" si="7"/>
        <v>1.7000000000000455</v>
      </c>
    </row>
    <row r="187" spans="1:4">
      <c r="A187" s="44">
        <v>41010</v>
      </c>
      <c r="B187" s="46">
        <v>487</v>
      </c>
      <c r="C187" s="46">
        <v>484.1</v>
      </c>
      <c r="D187" s="46">
        <f t="shared" si="7"/>
        <v>2.8999999999999773</v>
      </c>
    </row>
    <row r="188" spans="1:4">
      <c r="A188" s="44">
        <v>41011</v>
      </c>
      <c r="B188" s="46">
        <v>492.8</v>
      </c>
      <c r="C188" s="46">
        <v>483.6</v>
      </c>
      <c r="D188" s="46">
        <f t="shared" si="7"/>
        <v>9.1999999999999886</v>
      </c>
    </row>
    <row r="189" spans="1:4">
      <c r="A189" s="44">
        <v>41012</v>
      </c>
      <c r="B189" s="46">
        <v>492.1</v>
      </c>
      <c r="C189" s="46">
        <v>491.8</v>
      </c>
      <c r="D189" s="46">
        <f t="shared" si="7"/>
        <v>0.30000000000001137</v>
      </c>
    </row>
    <row r="190" spans="1:4">
      <c r="A190" s="44">
        <v>41015</v>
      </c>
      <c r="B190" s="46">
        <v>492.3</v>
      </c>
      <c r="C190" s="46">
        <v>500</v>
      </c>
      <c r="D190" s="46">
        <f t="shared" si="7"/>
        <v>-7.6999999999999886</v>
      </c>
    </row>
    <row r="191" spans="1:4">
      <c r="A191" s="44">
        <v>41016</v>
      </c>
      <c r="B191" s="46">
        <v>494.5</v>
      </c>
      <c r="C191" s="46">
        <v>501.7</v>
      </c>
      <c r="D191" s="46">
        <f t="shared" si="7"/>
        <v>-7.1999999999999886</v>
      </c>
    </row>
    <row r="192" spans="1:4">
      <c r="A192" s="44">
        <v>41017</v>
      </c>
      <c r="B192" s="46">
        <v>500.1</v>
      </c>
      <c r="C192" s="46">
        <v>506.1</v>
      </c>
      <c r="D192" s="46">
        <f t="shared" si="7"/>
        <v>-6</v>
      </c>
    </row>
    <row r="193" spans="1:4">
      <c r="A193" s="44">
        <v>41018</v>
      </c>
      <c r="B193" s="46">
        <v>501.9</v>
      </c>
      <c r="C193" s="46">
        <v>507.1</v>
      </c>
      <c r="D193" s="46">
        <f t="shared" si="7"/>
        <v>-5.2000000000000455</v>
      </c>
    </row>
    <row r="194" spans="1:4">
      <c r="A194" s="44">
        <v>41019</v>
      </c>
      <c r="B194" s="46">
        <v>507.3</v>
      </c>
      <c r="C194" s="46">
        <v>514.29999999999995</v>
      </c>
      <c r="D194" s="46">
        <f t="shared" si="7"/>
        <v>-6.9999999999999432</v>
      </c>
    </row>
    <row r="195" spans="1:4">
      <c r="A195" s="44">
        <v>41022</v>
      </c>
      <c r="B195" s="46">
        <v>521.4</v>
      </c>
      <c r="C195" s="46">
        <v>524.70000000000005</v>
      </c>
      <c r="D195" s="46">
        <f t="shared" si="7"/>
        <v>-3.3000000000000682</v>
      </c>
    </row>
    <row r="196" spans="1:4">
      <c r="A196" s="44">
        <v>41023</v>
      </c>
      <c r="B196" s="46">
        <v>532</v>
      </c>
      <c r="C196" s="46">
        <v>529.79999999999995</v>
      </c>
      <c r="D196" s="46">
        <f t="shared" si="7"/>
        <v>2.2000000000000455</v>
      </c>
    </row>
    <row r="197" spans="1:4">
      <c r="A197" s="44">
        <v>41024</v>
      </c>
      <c r="B197" s="46">
        <v>537.1</v>
      </c>
      <c r="C197" s="46">
        <v>535.79999999999995</v>
      </c>
      <c r="D197" s="46">
        <f t="shared" si="7"/>
        <v>1.3000000000000682</v>
      </c>
    </row>
    <row r="198" spans="1:4">
      <c r="A198" s="44">
        <v>41025</v>
      </c>
      <c r="B198" s="46">
        <v>549.6</v>
      </c>
      <c r="C198" s="46">
        <v>545.5</v>
      </c>
      <c r="D198" s="46">
        <f t="shared" si="7"/>
        <v>4.1000000000000227</v>
      </c>
    </row>
    <row r="199" spans="1:4">
      <c r="A199" s="44">
        <v>41026</v>
      </c>
      <c r="B199" s="46">
        <v>556.29999999999995</v>
      </c>
      <c r="C199" s="46">
        <v>558</v>
      </c>
      <c r="D199" s="46">
        <f t="shared" si="7"/>
        <v>-1.7000000000000455</v>
      </c>
    </row>
    <row r="200" spans="1:4">
      <c r="A200" s="44">
        <v>41027</v>
      </c>
      <c r="B200" s="46">
        <v>560.70000000000005</v>
      </c>
      <c r="C200" s="46">
        <v>559.6</v>
      </c>
      <c r="D200" s="46">
        <f>B200-C200</f>
        <v>1.1000000000000227</v>
      </c>
    </row>
    <row r="201" spans="1:4">
      <c r="A201" s="44">
        <v>41031</v>
      </c>
      <c r="B201" s="46">
        <v>558.5</v>
      </c>
      <c r="C201" s="46">
        <v>558.29999999999995</v>
      </c>
      <c r="D201" s="46">
        <f>B201-C201</f>
        <v>0.20000000000004547</v>
      </c>
    </row>
    <row r="202" spans="1:4">
      <c r="A202" s="44">
        <v>41032</v>
      </c>
      <c r="B202" s="46">
        <v>556.20000000000005</v>
      </c>
      <c r="C202" s="46">
        <v>559.5</v>
      </c>
      <c r="D202" s="46">
        <f t="shared" ref="D202:D203" si="8">B202-C202</f>
        <v>-3.2999999999999545</v>
      </c>
    </row>
    <row r="203" spans="1:4">
      <c r="A203" s="44">
        <v>41033</v>
      </c>
      <c r="B203" s="46">
        <v>552.79999999999995</v>
      </c>
      <c r="C203" s="46">
        <v>561.20000000000005</v>
      </c>
      <c r="D203" s="46">
        <f t="shared" si="8"/>
        <v>-8.4000000000000909</v>
      </c>
    </row>
    <row r="204" spans="1:4">
      <c r="A204" s="44">
        <v>41036</v>
      </c>
      <c r="B204" s="46">
        <v>564.9</v>
      </c>
      <c r="C204" s="46">
        <v>564.6</v>
      </c>
      <c r="D204" s="46">
        <f>B204-C204</f>
        <v>0.29999999999995453</v>
      </c>
    </row>
    <row r="205" spans="1:4">
      <c r="A205" s="44">
        <v>41037</v>
      </c>
      <c r="B205" s="46">
        <v>566.9</v>
      </c>
      <c r="C205" s="46">
        <v>567.79999999999995</v>
      </c>
      <c r="D205" s="46">
        <f t="shared" ref="D205:D243" si="9">B205-C205</f>
        <v>-0.89999999999997726</v>
      </c>
    </row>
    <row r="206" spans="1:4">
      <c r="A206" s="44">
        <v>41038</v>
      </c>
      <c r="B206" s="46">
        <v>564.70000000000005</v>
      </c>
      <c r="C206" s="46">
        <v>563.70000000000005</v>
      </c>
      <c r="D206" s="46">
        <f t="shared" si="9"/>
        <v>1</v>
      </c>
    </row>
    <row r="207" spans="1:4">
      <c r="A207" s="44">
        <v>41039</v>
      </c>
      <c r="B207" s="46">
        <v>568</v>
      </c>
      <c r="C207" s="46">
        <v>560.70000000000005</v>
      </c>
      <c r="D207" s="46">
        <f t="shared" si="9"/>
        <v>7.2999999999999545</v>
      </c>
    </row>
    <row r="208" spans="1:4">
      <c r="A208" s="44">
        <v>41040</v>
      </c>
      <c r="B208" s="46">
        <v>569.4</v>
      </c>
      <c r="C208" s="46">
        <v>564.29999999999995</v>
      </c>
      <c r="D208" s="46">
        <f t="shared" si="9"/>
        <v>5.1000000000000227</v>
      </c>
    </row>
    <row r="209" spans="1:4">
      <c r="A209" s="44">
        <v>41041</v>
      </c>
      <c r="B209" s="46">
        <v>567.70000000000005</v>
      </c>
      <c r="C209" s="46">
        <v>566.1</v>
      </c>
      <c r="D209" s="46">
        <f t="shared" si="9"/>
        <v>1.6000000000000227</v>
      </c>
    </row>
    <row r="210" spans="1:4">
      <c r="A210" s="44">
        <v>41044</v>
      </c>
      <c r="B210" s="46">
        <v>565.29999999999995</v>
      </c>
      <c r="C210" s="46">
        <v>563.9</v>
      </c>
      <c r="D210" s="46">
        <f t="shared" si="9"/>
        <v>1.3999999999999773</v>
      </c>
    </row>
    <row r="211" spans="1:4">
      <c r="A211" s="44">
        <v>41046</v>
      </c>
      <c r="B211" s="46">
        <v>561.1</v>
      </c>
      <c r="C211" s="46">
        <v>567.1</v>
      </c>
      <c r="D211" s="46">
        <f t="shared" si="9"/>
        <v>-6</v>
      </c>
    </row>
    <row r="212" spans="1:4">
      <c r="A212" s="44">
        <v>41047</v>
      </c>
      <c r="B212" s="46">
        <v>565.20000000000005</v>
      </c>
      <c r="C212" s="46">
        <v>570.6</v>
      </c>
      <c r="D212" s="46">
        <f t="shared" si="9"/>
        <v>-5.3999999999999773</v>
      </c>
    </row>
    <row r="213" spans="1:4">
      <c r="A213" s="44">
        <v>41048</v>
      </c>
      <c r="B213" s="46">
        <v>566.1</v>
      </c>
      <c r="C213" s="46">
        <v>568.5</v>
      </c>
      <c r="D213" s="46">
        <f t="shared" si="9"/>
        <v>-2.3999999999999773</v>
      </c>
    </row>
    <row r="214" spans="1:4">
      <c r="A214" s="44">
        <v>41050</v>
      </c>
      <c r="B214" s="46">
        <v>568.4</v>
      </c>
      <c r="C214" s="46">
        <v>571.6</v>
      </c>
      <c r="D214" s="46">
        <f t="shared" si="9"/>
        <v>-3.2000000000000455</v>
      </c>
    </row>
    <row r="215" spans="1:4">
      <c r="A215" s="44">
        <v>41052</v>
      </c>
      <c r="B215" s="46">
        <v>574.29999999999995</v>
      </c>
      <c r="C215" s="46">
        <v>575.1</v>
      </c>
      <c r="D215" s="46">
        <f t="shared" si="9"/>
        <v>-0.80000000000006821</v>
      </c>
    </row>
    <row r="216" spans="1:4">
      <c r="A216" s="44">
        <v>41053</v>
      </c>
      <c r="B216" s="46">
        <v>576.79999999999995</v>
      </c>
      <c r="C216" s="46">
        <v>576.9</v>
      </c>
      <c r="D216" s="46">
        <f t="shared" si="9"/>
        <v>-0.10000000000002274</v>
      </c>
    </row>
    <row r="217" spans="1:4">
      <c r="A217" s="44">
        <v>41054</v>
      </c>
      <c r="B217" s="46">
        <v>577.20000000000005</v>
      </c>
      <c r="C217" s="46">
        <v>575.4</v>
      </c>
      <c r="D217" s="46">
        <f t="shared" si="9"/>
        <v>1.8000000000000682</v>
      </c>
    </row>
    <row r="218" spans="1:4">
      <c r="A218" s="44">
        <v>41055</v>
      </c>
      <c r="B218" s="46">
        <v>578</v>
      </c>
      <c r="C218" s="46">
        <v>572.6</v>
      </c>
      <c r="D218" s="46">
        <f t="shared" si="9"/>
        <v>5.3999999999999773</v>
      </c>
    </row>
    <row r="219" spans="1:4">
      <c r="A219" s="44">
        <v>41058</v>
      </c>
      <c r="B219" s="46">
        <v>576.1</v>
      </c>
      <c r="C219" s="46">
        <v>576.4</v>
      </c>
      <c r="D219" s="46">
        <f t="shared" si="9"/>
        <v>-0.29999999999995453</v>
      </c>
    </row>
    <row r="220" spans="1:4">
      <c r="A220" s="44">
        <v>41059</v>
      </c>
      <c r="B220" s="46">
        <v>574.9</v>
      </c>
      <c r="C220" s="46">
        <v>572.70000000000005</v>
      </c>
      <c r="D220" s="46">
        <f t="shared" si="9"/>
        <v>2.1999999999999318</v>
      </c>
    </row>
    <row r="221" spans="1:4">
      <c r="A221" s="44">
        <v>41060</v>
      </c>
      <c r="B221" s="46">
        <v>573.9</v>
      </c>
      <c r="C221" s="46">
        <v>574</v>
      </c>
      <c r="D221" s="46">
        <f t="shared" si="9"/>
        <v>-0.10000000000002274</v>
      </c>
    </row>
    <row r="222" spans="1:4">
      <c r="A222" s="44">
        <v>41061</v>
      </c>
      <c r="B222" s="46">
        <v>575.4</v>
      </c>
      <c r="C222" s="46">
        <v>575.1</v>
      </c>
      <c r="D222" s="46">
        <f t="shared" si="9"/>
        <v>0.29999999999995453</v>
      </c>
    </row>
    <row r="223" spans="1:4">
      <c r="A223" s="44">
        <v>41062</v>
      </c>
      <c r="B223" s="46">
        <v>573.5</v>
      </c>
      <c r="C223" s="46">
        <v>578</v>
      </c>
      <c r="D223" s="46">
        <f t="shared" si="9"/>
        <v>-4.5</v>
      </c>
    </row>
    <row r="224" spans="1:4">
      <c r="A224" s="44">
        <v>41063</v>
      </c>
      <c r="B224" s="46">
        <v>573.5</v>
      </c>
    </row>
    <row r="225" spans="1:4">
      <c r="A225" s="44">
        <v>41064</v>
      </c>
      <c r="B225" s="46">
        <v>575.70000000000005</v>
      </c>
      <c r="C225" s="46">
        <v>576.4</v>
      </c>
      <c r="D225" s="46">
        <f t="shared" si="9"/>
        <v>-0.69999999999993179</v>
      </c>
    </row>
    <row r="226" spans="1:4">
      <c r="A226" s="44">
        <v>41065</v>
      </c>
      <c r="B226" s="46">
        <v>578.6</v>
      </c>
      <c r="C226" s="46">
        <v>577.79999999999995</v>
      </c>
      <c r="D226" s="46">
        <f t="shared" si="9"/>
        <v>0.80000000000006821</v>
      </c>
    </row>
    <row r="227" spans="1:4">
      <c r="A227" s="44">
        <v>41066</v>
      </c>
      <c r="B227" s="46">
        <v>582.70000000000005</v>
      </c>
      <c r="C227" s="46">
        <v>580.1</v>
      </c>
      <c r="D227" s="46">
        <f t="shared" si="9"/>
        <v>2.6000000000000227</v>
      </c>
    </row>
    <row r="228" spans="1:4">
      <c r="A228" s="44">
        <v>41067</v>
      </c>
      <c r="B228" s="46">
        <v>582.20000000000005</v>
      </c>
      <c r="C228" s="46">
        <v>580.29999999999995</v>
      </c>
      <c r="D228" s="46">
        <f t="shared" si="9"/>
        <v>1.9000000000000909</v>
      </c>
    </row>
    <row r="229" spans="1:4">
      <c r="A229" s="44">
        <v>41068</v>
      </c>
      <c r="B229" s="46">
        <v>583.70000000000005</v>
      </c>
      <c r="C229" s="46">
        <v>580.29999999999995</v>
      </c>
      <c r="D229" s="46">
        <f t="shared" si="9"/>
        <v>3.4000000000000909</v>
      </c>
    </row>
    <row r="230" spans="1:4">
      <c r="A230" s="44">
        <v>41069</v>
      </c>
      <c r="B230" s="46">
        <v>585.9</v>
      </c>
      <c r="C230" s="46">
        <v>580.29999999999995</v>
      </c>
      <c r="D230" s="46">
        <f t="shared" si="9"/>
        <v>5.6000000000000227</v>
      </c>
    </row>
    <row r="231" spans="1:4">
      <c r="A231" s="44">
        <v>41071</v>
      </c>
      <c r="B231" s="46">
        <v>582.9</v>
      </c>
      <c r="C231" s="46">
        <v>578</v>
      </c>
      <c r="D231" s="46">
        <f t="shared" si="9"/>
        <v>4.8999999999999773</v>
      </c>
    </row>
    <row r="232" spans="1:4">
      <c r="A232" s="44">
        <v>41073</v>
      </c>
      <c r="B232" s="46">
        <v>580.4</v>
      </c>
      <c r="C232" s="46">
        <v>580.6</v>
      </c>
      <c r="D232" s="46">
        <f t="shared" si="9"/>
        <v>-0.20000000000004547</v>
      </c>
    </row>
    <row r="233" spans="1:4">
      <c r="A233" s="44">
        <v>41074</v>
      </c>
      <c r="B233" s="46">
        <v>582.29999999999995</v>
      </c>
      <c r="C233" s="46">
        <v>584</v>
      </c>
      <c r="D233" s="46">
        <f t="shared" si="9"/>
        <v>-1.7000000000000455</v>
      </c>
    </row>
    <row r="234" spans="1:4">
      <c r="A234" s="44">
        <v>41075</v>
      </c>
      <c r="B234" s="46">
        <v>583.4</v>
      </c>
      <c r="C234" s="46">
        <v>584.70000000000005</v>
      </c>
      <c r="D234" s="46">
        <f t="shared" si="9"/>
        <v>-1.3000000000000682</v>
      </c>
    </row>
    <row r="235" spans="1:4">
      <c r="A235" s="44">
        <v>41076</v>
      </c>
      <c r="B235" s="46">
        <v>583.6</v>
      </c>
      <c r="C235" s="46">
        <v>583.29999999999995</v>
      </c>
      <c r="D235" s="46">
        <f t="shared" si="9"/>
        <v>0.30000000000006821</v>
      </c>
    </row>
    <row r="236" spans="1:4">
      <c r="A236" s="44">
        <v>41078</v>
      </c>
      <c r="B236" s="46">
        <v>585.9</v>
      </c>
      <c r="C236" s="46">
        <v>589.29999999999995</v>
      </c>
      <c r="D236" s="46">
        <f t="shared" si="9"/>
        <v>-3.3999999999999773</v>
      </c>
    </row>
    <row r="237" spans="1:4">
      <c r="A237" s="44">
        <v>41079</v>
      </c>
      <c r="B237" s="46">
        <v>588.4</v>
      </c>
      <c r="C237" s="46">
        <v>593.4</v>
      </c>
      <c r="D237" s="46">
        <f t="shared" si="9"/>
        <v>-5</v>
      </c>
    </row>
    <row r="238" spans="1:4">
      <c r="A238" s="44">
        <v>41081</v>
      </c>
      <c r="B238" s="46">
        <v>597.79999999999995</v>
      </c>
      <c r="C238" s="46">
        <v>598.20000000000005</v>
      </c>
      <c r="D238" s="46">
        <f t="shared" si="9"/>
        <v>-0.40000000000009095</v>
      </c>
    </row>
    <row r="239" spans="1:4">
      <c r="A239" s="44">
        <v>41082</v>
      </c>
      <c r="B239" s="46">
        <v>602.6</v>
      </c>
      <c r="C239" s="46">
        <v>601.20000000000005</v>
      </c>
      <c r="D239" s="46">
        <f t="shared" si="9"/>
        <v>1.3999999999999773</v>
      </c>
    </row>
    <row r="240" spans="1:4">
      <c r="A240" s="44">
        <v>41085</v>
      </c>
      <c r="B240" s="46">
        <v>603</v>
      </c>
      <c r="C240" s="46">
        <v>599.9</v>
      </c>
      <c r="D240" s="46">
        <f t="shared" si="9"/>
        <v>3.1000000000000227</v>
      </c>
    </row>
    <row r="241" spans="1:4">
      <c r="A241" s="44">
        <v>41086</v>
      </c>
      <c r="B241" s="46">
        <v>601.20000000000005</v>
      </c>
      <c r="C241" s="46">
        <v>600.9</v>
      </c>
      <c r="D241" s="46">
        <f t="shared" si="9"/>
        <v>0.30000000000006821</v>
      </c>
    </row>
    <row r="242" spans="1:4">
      <c r="A242" s="44">
        <v>41087</v>
      </c>
      <c r="B242" s="46">
        <v>602.9</v>
      </c>
      <c r="C242" s="46">
        <v>601.5</v>
      </c>
      <c r="D242" s="46">
        <f t="shared" si="9"/>
        <v>1.3999999999999773</v>
      </c>
    </row>
    <row r="243" spans="1:4">
      <c r="A243" s="44">
        <v>41094</v>
      </c>
      <c r="B243" s="46">
        <v>612.9</v>
      </c>
      <c r="C243" s="46">
        <v>612</v>
      </c>
      <c r="D243" s="46">
        <f t="shared" si="9"/>
        <v>0.89999999999997726</v>
      </c>
    </row>
    <row r="244" spans="1:4">
      <c r="A244" s="44">
        <v>41095</v>
      </c>
      <c r="B244" s="46">
        <v>619</v>
      </c>
    </row>
    <row r="245" spans="1:4">
      <c r="A245" s="44">
        <v>41096</v>
      </c>
      <c r="B245" s="46">
        <v>623.29999999999995</v>
      </c>
    </row>
    <row r="246" spans="1:4">
      <c r="A246" s="44">
        <v>41097</v>
      </c>
      <c r="B246" s="46">
        <v>622.5</v>
      </c>
    </row>
    <row r="247" spans="1:4">
      <c r="A247" s="44">
        <v>41098</v>
      </c>
      <c r="B247" s="46">
        <v>625.4</v>
      </c>
    </row>
    <row r="248" spans="1:4">
      <c r="A248" s="44">
        <v>41099</v>
      </c>
      <c r="B248" s="46">
        <v>625.79999999999995</v>
      </c>
    </row>
    <row r="249" spans="1:4">
      <c r="A249" s="44">
        <v>41100</v>
      </c>
      <c r="B249" s="46">
        <v>624.9</v>
      </c>
    </row>
    <row r="250" spans="1:4">
      <c r="A250" s="44">
        <v>41101</v>
      </c>
      <c r="B250" s="46">
        <v>624.6</v>
      </c>
    </row>
    <row r="251" spans="1:4">
      <c r="A251" s="44">
        <v>41102</v>
      </c>
      <c r="B251" s="46">
        <v>625.5</v>
      </c>
    </row>
    <row r="252" spans="1:4">
      <c r="A252" s="44">
        <v>41103</v>
      </c>
      <c r="B252" s="46">
        <v>624.5</v>
      </c>
    </row>
    <row r="253" spans="1:4">
      <c r="A253" s="44">
        <v>41104</v>
      </c>
      <c r="B253" s="46">
        <v>625.20000000000005</v>
      </c>
    </row>
    <row r="254" spans="1:4">
      <c r="A254" s="44">
        <v>41105</v>
      </c>
      <c r="B254" s="46">
        <v>624</v>
      </c>
    </row>
    <row r="255" spans="1:4">
      <c r="A255" s="44">
        <v>41106</v>
      </c>
      <c r="B255" s="49">
        <v>626.35504355014609</v>
      </c>
    </row>
    <row r="256" spans="1:4">
      <c r="A256" s="44">
        <v>41107</v>
      </c>
    </row>
    <row r="257" spans="1:2">
      <c r="A257" s="44">
        <v>41108</v>
      </c>
    </row>
    <row r="258" spans="1:2">
      <c r="A258" s="44">
        <v>41109</v>
      </c>
    </row>
    <row r="259" spans="1:2">
      <c r="A259" s="44">
        <v>41110</v>
      </c>
    </row>
    <row r="260" spans="1:2">
      <c r="A260" s="44">
        <v>41111</v>
      </c>
    </row>
    <row r="261" spans="1:2">
      <c r="A261" s="44">
        <v>41112</v>
      </c>
    </row>
    <row r="262" spans="1:2">
      <c r="A262" s="44">
        <v>41113</v>
      </c>
    </row>
    <row r="263" spans="1:2">
      <c r="A263" s="44">
        <v>41114</v>
      </c>
    </row>
    <row r="264" spans="1:2">
      <c r="A264" s="44">
        <v>41115</v>
      </c>
    </row>
    <row r="265" spans="1:2">
      <c r="A265" s="44">
        <v>41116</v>
      </c>
    </row>
    <row r="266" spans="1:2">
      <c r="A266" s="44">
        <v>41117</v>
      </c>
    </row>
    <row r="267" spans="1:2">
      <c r="A267" s="44">
        <v>41118</v>
      </c>
    </row>
    <row r="268" spans="1:2">
      <c r="A268" s="44">
        <v>41119</v>
      </c>
    </row>
    <row r="269" spans="1:2">
      <c r="A269" s="44">
        <v>41120</v>
      </c>
    </row>
    <row r="270" spans="1:2">
      <c r="A270" s="44">
        <v>41121</v>
      </c>
    </row>
    <row r="271" spans="1:2">
      <c r="A271" s="44">
        <v>41122</v>
      </c>
      <c r="B271" s="46">
        <v>630.79999999999995</v>
      </c>
    </row>
    <row r="272" spans="1:2">
      <c r="A272" s="44">
        <v>41123</v>
      </c>
      <c r="B272" s="46">
        <v>629.4</v>
      </c>
    </row>
    <row r="273" spans="1:2">
      <c r="A273" s="44">
        <v>41124</v>
      </c>
      <c r="B273" s="46">
        <v>630</v>
      </c>
    </row>
    <row r="274" spans="1:2">
      <c r="A274" s="44">
        <v>41125</v>
      </c>
      <c r="B274" s="46">
        <v>630.79999999999995</v>
      </c>
    </row>
    <row r="275" spans="1:2">
      <c r="A275" s="44">
        <v>41126</v>
      </c>
      <c r="B275" s="46">
        <v>631.1</v>
      </c>
    </row>
    <row r="276" spans="1:2">
      <c r="A276" s="44">
        <v>41127</v>
      </c>
      <c r="B276" s="46">
        <v>634.20000000000005</v>
      </c>
    </row>
    <row r="277" spans="1:2">
      <c r="A277" s="44">
        <v>41128</v>
      </c>
      <c r="B277" s="46">
        <v>637</v>
      </c>
    </row>
    <row r="278" spans="1:2">
      <c r="A278" s="44">
        <v>41129</v>
      </c>
      <c r="B278" s="46">
        <v>639</v>
      </c>
    </row>
    <row r="279" spans="1:2">
      <c r="A279" s="44">
        <v>41130</v>
      </c>
    </row>
    <row r="280" spans="1:2">
      <c r="A280" s="44">
        <v>41131</v>
      </c>
      <c r="B280" s="46">
        <v>643.5</v>
      </c>
    </row>
    <row r="281" spans="1:2">
      <c r="A281" s="44">
        <v>41132</v>
      </c>
      <c r="B281" s="46">
        <v>642.1</v>
      </c>
    </row>
    <row r="282" spans="1:2">
      <c r="A282" s="44">
        <v>41133</v>
      </c>
      <c r="B282" s="46">
        <v>644.4</v>
      </c>
    </row>
    <row r="283" spans="1:2">
      <c r="A283" s="44">
        <v>41134</v>
      </c>
      <c r="B283" s="46">
        <v>644.70000000000005</v>
      </c>
    </row>
    <row r="284" spans="1:2">
      <c r="A284" s="44">
        <v>41135</v>
      </c>
      <c r="B284" s="46">
        <v>644.4</v>
      </c>
    </row>
    <row r="285" spans="1:2">
      <c r="A285" s="44">
        <v>41136</v>
      </c>
      <c r="B285" s="46">
        <v>645.01202543931049</v>
      </c>
    </row>
    <row r="286" spans="1:2">
      <c r="A286" s="44">
        <v>41137</v>
      </c>
      <c r="B286" s="46">
        <v>646.4314805040184</v>
      </c>
    </row>
    <row r="287" spans="1:2">
      <c r="A287" s="44">
        <v>41138</v>
      </c>
      <c r="B287" s="46">
        <v>650.76953831692549</v>
      </c>
    </row>
    <row r="288" spans="1:2">
      <c r="A288" s="44">
        <v>41139</v>
      </c>
      <c r="B288" s="46">
        <v>653.21782226684445</v>
      </c>
    </row>
    <row r="289" spans="1:2">
      <c r="A289" s="44">
        <v>41140</v>
      </c>
      <c r="B289" s="46">
        <v>652.97691232598322</v>
      </c>
    </row>
    <row r="290" spans="1:2">
      <c r="A290" s="44">
        <v>41141</v>
      </c>
      <c r="B290" s="46">
        <v>653.75908073014921</v>
      </c>
    </row>
    <row r="291" spans="1:2">
      <c r="A291" s="44">
        <v>41142</v>
      </c>
      <c r="B291" s="46">
        <v>654.95212935101301</v>
      </c>
    </row>
    <row r="292" spans="1:2">
      <c r="A292" s="44">
        <v>41143</v>
      </c>
      <c r="B292" s="46">
        <v>658.08838559124183</v>
      </c>
    </row>
    <row r="293" spans="1:2">
      <c r="A293" s="44">
        <v>41144</v>
      </c>
      <c r="B293" s="46">
        <v>659.12505138811423</v>
      </c>
    </row>
    <row r="294" spans="1:2">
      <c r="A294" s="44">
        <v>41145</v>
      </c>
      <c r="B294" s="46">
        <v>663.25120624528745</v>
      </c>
    </row>
    <row r="295" spans="1:2">
      <c r="A295" s="44">
        <v>41146</v>
      </c>
      <c r="B295" s="46">
        <v>663.38524866756325</v>
      </c>
    </row>
    <row r="296" spans="1:2">
      <c r="A296" s="44">
        <v>41147</v>
      </c>
      <c r="B296" s="46">
        <v>663.32698041228684</v>
      </c>
    </row>
    <row r="297" spans="1:2">
      <c r="A297" s="44">
        <v>41148</v>
      </c>
      <c r="B297" s="46">
        <v>662.78480590381014</v>
      </c>
    </row>
    <row r="298" spans="1:2">
      <c r="A298" s="44">
        <v>41149</v>
      </c>
    </row>
    <row r="299" spans="1:2">
      <c r="A299" s="44">
        <v>41150</v>
      </c>
      <c r="B299" s="46">
        <v>661.73847111189525</v>
      </c>
    </row>
    <row r="300" spans="1:2">
      <c r="A300" s="44">
        <v>41151</v>
      </c>
      <c r="B300" s="46">
        <v>660.2752512839088</v>
      </c>
    </row>
    <row r="301" spans="1:2">
      <c r="A301" s="44">
        <v>41152</v>
      </c>
    </row>
    <row r="302" spans="1:2">
      <c r="A302" s="44">
        <v>41153</v>
      </c>
      <c r="B302" s="46">
        <v>663.21135993686789</v>
      </c>
    </row>
    <row r="303" spans="1:2">
      <c r="A303" s="44">
        <v>41154</v>
      </c>
      <c r="B303" s="46">
        <v>663.63007706328324</v>
      </c>
    </row>
    <row r="304" spans="1:2">
      <c r="A304" s="44">
        <v>41155</v>
      </c>
      <c r="B304" s="46">
        <v>663.24637175027578</v>
      </c>
    </row>
    <row r="305" spans="1:2">
      <c r="A305" s="44">
        <v>41156</v>
      </c>
      <c r="B305" s="46">
        <v>664.13240525832146</v>
      </c>
    </row>
    <row r="306" spans="1:2">
      <c r="A306" s="44">
        <v>41157</v>
      </c>
      <c r="B306" s="46">
        <v>663.16184463340596</v>
      </c>
    </row>
    <row r="307" spans="1:2">
      <c r="A307" s="44">
        <v>41158</v>
      </c>
      <c r="B307" s="46">
        <v>665.28560756882189</v>
      </c>
    </row>
    <row r="308" spans="1:2">
      <c r="A308" s="44">
        <v>41159</v>
      </c>
      <c r="B308" s="46">
        <v>664.08772445489001</v>
      </c>
    </row>
    <row r="309" spans="1:2">
      <c r="A309" s="44">
        <v>41160</v>
      </c>
      <c r="B309" s="46">
        <v>661.92594729249174</v>
      </c>
    </row>
    <row r="310" spans="1:2">
      <c r="A310" s="44">
        <v>41161</v>
      </c>
      <c r="B310" s="46">
        <v>662.40201663095559</v>
      </c>
    </row>
    <row r="311" spans="1:2">
      <c r="A311" s="44">
        <v>41162</v>
      </c>
      <c r="B311" s="46">
        <v>660.46089537918056</v>
      </c>
    </row>
    <row r="312" spans="1:2">
      <c r="A312" s="44">
        <v>41163</v>
      </c>
      <c r="B312" s="46">
        <v>659.87887456228418</v>
      </c>
    </row>
    <row r="313" spans="1:2">
      <c r="A313" s="44">
        <v>41164</v>
      </c>
      <c r="B313" s="46">
        <v>662.36033823721107</v>
      </c>
    </row>
    <row r="314" spans="1:2">
      <c r="A314" s="44">
        <v>41165</v>
      </c>
      <c r="B314" s="46">
        <v>660.4832357828401</v>
      </c>
    </row>
    <row r="315" spans="1:2">
      <c r="A315" s="44">
        <v>41166</v>
      </c>
      <c r="B315" s="46">
        <v>659.73516314690983</v>
      </c>
    </row>
    <row r="316" spans="1:2">
      <c r="A316" s="44">
        <v>41167</v>
      </c>
      <c r="B316" s="46">
        <v>658.90739789106556</v>
      </c>
    </row>
    <row r="317" spans="1:2">
      <c r="A317" s="44">
        <v>41168</v>
      </c>
      <c r="B317" s="46">
        <v>657.64824410520771</v>
      </c>
    </row>
    <row r="318" spans="1:2">
      <c r="A318" s="44">
        <v>41169</v>
      </c>
      <c r="B318" s="46">
        <v>658.37397633747833</v>
      </c>
    </row>
    <row r="319" spans="1:2">
      <c r="A319" s="44">
        <v>41170</v>
      </c>
      <c r="B319" s="46">
        <v>658.36430734243584</v>
      </c>
    </row>
    <row r="320" spans="1:2">
      <c r="A320" s="44">
        <v>41171</v>
      </c>
    </row>
    <row r="321" spans="1:2">
      <c r="A321" s="44">
        <v>41172</v>
      </c>
      <c r="B321" s="46">
        <v>657.30046664883605</v>
      </c>
    </row>
    <row r="322" spans="1:2">
      <c r="A322" s="44">
        <v>41173</v>
      </c>
      <c r="B322" s="46">
        <v>659.88187697391493</v>
      </c>
    </row>
    <row r="323" spans="1:2">
      <c r="A323" s="44">
        <v>41174</v>
      </c>
      <c r="B323" s="46">
        <v>661.07400954960679</v>
      </c>
    </row>
    <row r="324" spans="1:2">
      <c r="A324" s="44">
        <v>41175</v>
      </c>
    </row>
    <row r="325" spans="1:2">
      <c r="A325" s="44">
        <v>41176</v>
      </c>
      <c r="B325" s="46">
        <v>659.40489159109188</v>
      </c>
    </row>
    <row r="326" spans="1:2">
      <c r="A326" s="44">
        <v>41177</v>
      </c>
      <c r="B326" s="46">
        <v>657.65307860329449</v>
      </c>
    </row>
    <row r="327" spans="1:2">
      <c r="A327" s="44">
        <v>41178</v>
      </c>
      <c r="B327" s="46">
        <v>655.82849386401631</v>
      </c>
    </row>
    <row r="328" spans="1:2">
      <c r="A328" s="44">
        <v>41179</v>
      </c>
      <c r="B328" s="46">
        <v>656.60282535652095</v>
      </c>
    </row>
    <row r="329" spans="1:2">
      <c r="A329" s="44">
        <v>41180</v>
      </c>
      <c r="B329" s="46">
        <v>658.3205425772137</v>
      </c>
    </row>
    <row r="330" spans="1:2">
      <c r="A330" s="44">
        <v>41181</v>
      </c>
      <c r="B330" s="46">
        <v>657.986352569612</v>
      </c>
    </row>
    <row r="331" spans="1:2">
      <c r="A331" s="44">
        <v>41182</v>
      </c>
      <c r="B331" s="46">
        <v>658.73834366040091</v>
      </c>
    </row>
    <row r="332" spans="1:2">
      <c r="A332" s="44">
        <v>41183</v>
      </c>
      <c r="B332" s="46">
        <v>660.07418765146713</v>
      </c>
    </row>
    <row r="333" spans="1:2">
      <c r="A333" s="44">
        <v>41184</v>
      </c>
      <c r="B333" s="46">
        <v>660.15871476833706</v>
      </c>
    </row>
    <row r="334" spans="1:2">
      <c r="A334" s="44">
        <v>41185</v>
      </c>
      <c r="B334" s="46">
        <v>659.80310039722872</v>
      </c>
    </row>
    <row r="335" spans="1:2">
      <c r="A335" s="44">
        <v>41186</v>
      </c>
      <c r="B335" s="46">
        <v>658.40990419103912</v>
      </c>
    </row>
    <row r="336" spans="1:2">
      <c r="A336" s="44">
        <v>41187</v>
      </c>
      <c r="B336" s="46">
        <v>659.09970856974894</v>
      </c>
    </row>
    <row r="337" spans="1:2">
      <c r="A337" s="44">
        <v>41188</v>
      </c>
      <c r="B337" s="46">
        <v>659.04627481142802</v>
      </c>
    </row>
    <row r="338" spans="1:2">
      <c r="A338" s="44">
        <v>41189</v>
      </c>
      <c r="B338" s="46">
        <v>659.67389247498375</v>
      </c>
    </row>
    <row r="339" spans="1:2">
      <c r="A339" s="44">
        <v>41190</v>
      </c>
      <c r="B339" s="46">
        <v>660.50257377292496</v>
      </c>
    </row>
    <row r="340" spans="1:2">
      <c r="A340" s="44">
        <v>41191</v>
      </c>
      <c r="B340" s="46">
        <v>657.58697343635663</v>
      </c>
    </row>
    <row r="341" spans="1:2">
      <c r="A341" s="44">
        <v>41192</v>
      </c>
      <c r="B341" s="46">
        <v>657.60447933998546</v>
      </c>
    </row>
    <row r="342" spans="1:2">
      <c r="A342" s="44">
        <v>41193</v>
      </c>
      <c r="B342" s="46">
        <v>656.22487058369711</v>
      </c>
    </row>
    <row r="343" spans="1:2">
      <c r="A343" s="44">
        <v>41194</v>
      </c>
      <c r="B343" s="46">
        <v>655.21054519355926</v>
      </c>
    </row>
    <row r="344" spans="1:2">
      <c r="A344" s="44">
        <v>41195</v>
      </c>
      <c r="B344" s="46">
        <v>654.52949376973902</v>
      </c>
    </row>
    <row r="345" spans="1:2">
      <c r="A345" s="44">
        <v>41196</v>
      </c>
      <c r="B345" s="46">
        <v>655.6866145350981</v>
      </c>
    </row>
    <row r="346" spans="1:2">
      <c r="A346" s="44">
        <v>41197</v>
      </c>
      <c r="B346" s="46">
        <v>654.07093033490401</v>
      </c>
    </row>
    <row r="347" spans="1:2">
      <c r="A347" s="44">
        <v>41198</v>
      </c>
      <c r="B347" s="46">
        <v>654.95696384602479</v>
      </c>
    </row>
    <row r="348" spans="1:2">
      <c r="A348" s="44">
        <v>41199</v>
      </c>
      <c r="B348" s="46">
        <v>656.1</v>
      </c>
    </row>
    <row r="349" spans="1:2">
      <c r="A349" s="44">
        <v>41200</v>
      </c>
      <c r="B349" s="46">
        <v>655.24647304712005</v>
      </c>
    </row>
    <row r="350" spans="1:2">
      <c r="A350" s="44">
        <v>41201</v>
      </c>
      <c r="B350" s="46">
        <v>656.86999415590049</v>
      </c>
    </row>
    <row r="351" spans="1:2">
      <c r="A351" s="44">
        <v>41202</v>
      </c>
      <c r="B351" s="46">
        <v>655.20087619851677</v>
      </c>
    </row>
    <row r="352" spans="1:2">
      <c r="A352" s="44">
        <v>41203</v>
      </c>
      <c r="B352" s="46">
        <v>655.69053298688186</v>
      </c>
    </row>
    <row r="353" spans="1:2">
      <c r="A353" s="44">
        <v>41204</v>
      </c>
      <c r="B353" s="46">
        <v>656.18018977832185</v>
      </c>
    </row>
    <row r="354" spans="1:2">
      <c r="A354" s="44">
        <v>41205</v>
      </c>
      <c r="B354" s="46">
        <v>655.51664426120544</v>
      </c>
    </row>
    <row r="355" spans="1:2">
      <c r="A355" s="44">
        <v>41206</v>
      </c>
      <c r="B355" s="46">
        <v>654.76948766542819</v>
      </c>
    </row>
    <row r="356" spans="1:2">
      <c r="A356" s="44">
        <v>41207</v>
      </c>
      <c r="B356" s="46">
        <v>654.48089450756106</v>
      </c>
    </row>
    <row r="357" spans="1:2">
      <c r="A357" s="44">
        <v>41208</v>
      </c>
      <c r="B357" s="46">
        <v>654.96963525269791</v>
      </c>
    </row>
    <row r="358" spans="1:2">
      <c r="A358" s="44">
        <v>41209</v>
      </c>
      <c r="B358" s="46">
        <v>654.31575873062411</v>
      </c>
    </row>
    <row r="359" spans="1:2">
      <c r="A359" s="44">
        <v>41210</v>
      </c>
      <c r="B359" s="46">
        <v>654.23123161375418</v>
      </c>
    </row>
    <row r="360" spans="1:2">
      <c r="A360" s="44">
        <v>41211</v>
      </c>
      <c r="B360" s="46">
        <v>652.80694205209045</v>
      </c>
    </row>
    <row r="361" spans="1:2">
      <c r="A361" s="44">
        <v>41212</v>
      </c>
      <c r="B361" s="46">
        <v>653.65221321156366</v>
      </c>
    </row>
    <row r="362" spans="1:2">
      <c r="A362" s="44">
        <v>41213</v>
      </c>
      <c r="B362" s="46">
        <v>654.20497275523576</v>
      </c>
    </row>
    <row r="363" spans="1:2">
      <c r="A363" s="44">
        <v>41214</v>
      </c>
      <c r="B363" s="46">
        <v>654.42262624920954</v>
      </c>
    </row>
    <row r="364" spans="1:2">
      <c r="A364" s="44">
        <v>41215</v>
      </c>
      <c r="B364" s="46">
        <v>654.58684598486241</v>
      </c>
    </row>
    <row r="365" spans="1:2">
      <c r="A365" s="44">
        <v>41216</v>
      </c>
      <c r="B365" s="46">
        <v>654.39545134746311</v>
      </c>
    </row>
    <row r="366" spans="1:2">
      <c r="A366" s="44">
        <v>41217</v>
      </c>
      <c r="B366" s="46">
        <v>653.99907462778242</v>
      </c>
    </row>
    <row r="367" spans="1:2">
      <c r="A367" s="44">
        <v>41218</v>
      </c>
      <c r="B367" s="46">
        <v>654.53341222459778</v>
      </c>
    </row>
    <row r="368" spans="1:2">
      <c r="A368" s="44">
        <v>41219</v>
      </c>
      <c r="B368" s="46">
        <v>655.2854033153867</v>
      </c>
    </row>
    <row r="369" spans="1:2">
      <c r="A369" s="44">
        <v>41220</v>
      </c>
      <c r="B369" s="46">
        <v>653.50941783941744</v>
      </c>
    </row>
    <row r="370" spans="1:2">
      <c r="A370" s="44">
        <v>41221</v>
      </c>
      <c r="B370" s="46">
        <v>653.25583648880786</v>
      </c>
    </row>
    <row r="371" spans="1:2">
      <c r="A371" s="44">
        <v>41222</v>
      </c>
      <c r="B371" s="46">
        <v>652.09871572652389</v>
      </c>
    </row>
    <row r="372" spans="1:2">
      <c r="A372" s="44">
        <v>41223</v>
      </c>
      <c r="B372" s="46">
        <v>652.9400684291943</v>
      </c>
    </row>
    <row r="373" spans="1:2">
      <c r="A373" s="44">
        <v>41224</v>
      </c>
      <c r="B373" s="46">
        <v>651.95245992016089</v>
      </c>
    </row>
    <row r="374" spans="1:2">
      <c r="A374" s="44">
        <v>41225</v>
      </c>
      <c r="B374" s="46">
        <v>650.88032429231362</v>
      </c>
    </row>
    <row r="375" spans="1:2">
      <c r="A375" s="44">
        <v>41226</v>
      </c>
    </row>
    <row r="376" spans="1:2">
      <c r="A376" s="44">
        <v>41227</v>
      </c>
      <c r="B376" s="46">
        <v>651.89464968245159</v>
      </c>
    </row>
    <row r="377" spans="1:2">
      <c r="A377" s="44">
        <v>41228</v>
      </c>
      <c r="B377" s="46">
        <v>651.71200799994176</v>
      </c>
    </row>
    <row r="378" spans="1:2">
      <c r="A378" s="44">
        <v>41229</v>
      </c>
      <c r="B378" s="46">
        <v>652.77493265225735</v>
      </c>
    </row>
    <row r="379" spans="1:2">
      <c r="A379" s="44">
        <v>41230</v>
      </c>
      <c r="B379" s="46">
        <v>652.59804150993136</v>
      </c>
    </row>
    <row r="380" spans="1:2">
      <c r="A380" s="44">
        <v>41231</v>
      </c>
      <c r="B380" s="46">
        <v>653.68572381664671</v>
      </c>
    </row>
    <row r="381" spans="1:2">
      <c r="A381" s="44">
        <v>41232</v>
      </c>
      <c r="B381" s="46">
        <v>654.88027364081643</v>
      </c>
    </row>
    <row r="382" spans="1:2">
      <c r="A382" s="44">
        <v>41233</v>
      </c>
      <c r="B382" s="46">
        <v>656.06456930484694</v>
      </c>
    </row>
    <row r="383" spans="1:2">
      <c r="A383" s="44">
        <v>41234</v>
      </c>
      <c r="B383" s="46">
        <v>656.64750616497122</v>
      </c>
    </row>
    <row r="384" spans="1:2">
      <c r="A384" s="44">
        <v>41235</v>
      </c>
      <c r="B384" s="46">
        <v>655.2854033153867</v>
      </c>
    </row>
    <row r="385" spans="1:2">
      <c r="A385" s="44">
        <v>41236</v>
      </c>
      <c r="B385" s="46">
        <v>653.70081247179769</v>
      </c>
    </row>
    <row r="386" spans="1:2">
      <c r="A386" s="44">
        <v>41237</v>
      </c>
      <c r="B386" s="46">
        <v>654.87152068900207</v>
      </c>
    </row>
    <row r="387" spans="1:2">
      <c r="A387" s="44">
        <v>41238</v>
      </c>
      <c r="B387" s="46">
        <v>654.44405061077236</v>
      </c>
    </row>
    <row r="388" spans="1:2">
      <c r="A388" s="44">
        <v>41239</v>
      </c>
      <c r="B388" s="46">
        <v>654.56450558120287</v>
      </c>
    </row>
    <row r="389" spans="1:2">
      <c r="A389" s="44">
        <v>41240</v>
      </c>
      <c r="B389" s="46">
        <v>653.99032167596795</v>
      </c>
    </row>
    <row r="390" spans="1:2">
      <c r="A390" s="44">
        <v>41241</v>
      </c>
      <c r="B390" s="46">
        <v>653.87078274569035</v>
      </c>
    </row>
    <row r="391" spans="1:2">
      <c r="A391" s="44">
        <v>41242</v>
      </c>
      <c r="B391" s="46">
        <v>654.29341832696446</v>
      </c>
    </row>
    <row r="392" spans="1:2">
      <c r="A392" s="44">
        <v>41243</v>
      </c>
      <c r="B392" s="46">
        <v>655.59725291819746</v>
      </c>
    </row>
    <row r="393" spans="1:2">
      <c r="A393" s="44">
        <v>41244</v>
      </c>
      <c r="B393" s="46">
        <v>654.53733067945643</v>
      </c>
    </row>
    <row r="394" spans="1:2">
      <c r="A394" s="44">
        <v>41245</v>
      </c>
      <c r="B394" s="46">
        <v>655.04449337452536</v>
      </c>
    </row>
    <row r="395" spans="1:2">
      <c r="A395" s="44">
        <v>41246</v>
      </c>
      <c r="B395" s="46">
        <v>656.72328032695157</v>
      </c>
    </row>
    <row r="396" spans="1:2">
      <c r="A396" s="44">
        <v>41247</v>
      </c>
      <c r="B396" s="46">
        <v>658.66740399343234</v>
      </c>
    </row>
    <row r="397" spans="1:2">
      <c r="A397" s="44">
        <v>41248</v>
      </c>
      <c r="B397" s="46">
        <v>657.30530114384771</v>
      </c>
    </row>
    <row r="398" spans="1:2">
      <c r="A398" s="44">
        <v>41249</v>
      </c>
      <c r="B398" s="46">
        <v>658.48084385606376</v>
      </c>
    </row>
    <row r="399" spans="1:2">
      <c r="A399" s="44">
        <v>41250</v>
      </c>
      <c r="B399" s="46">
        <v>658.98408809627392</v>
      </c>
    </row>
    <row r="400" spans="1:2">
      <c r="A400" s="44">
        <v>41251</v>
      </c>
      <c r="B400" s="46">
        <v>657.21685557211913</v>
      </c>
    </row>
    <row r="401" spans="1:2">
      <c r="A401" s="44">
        <v>41252</v>
      </c>
      <c r="B401" s="46">
        <v>656.47361743621968</v>
      </c>
    </row>
    <row r="402" spans="1:2">
      <c r="A402" s="44">
        <v>41253</v>
      </c>
      <c r="B402" s="46">
        <v>656.66017757164434</v>
      </c>
    </row>
    <row r="403" spans="1:2">
      <c r="A403" s="44">
        <v>41254</v>
      </c>
      <c r="B403" s="46">
        <v>657.63465665336253</v>
      </c>
    </row>
    <row r="404" spans="1:2">
      <c r="A404" s="44">
        <v>41255</v>
      </c>
      <c r="B404" s="46">
        <v>656.50471079282499</v>
      </c>
    </row>
    <row r="405" spans="1:2">
      <c r="A405" s="44">
        <v>41256</v>
      </c>
      <c r="B405" s="46">
        <v>656.51829824272613</v>
      </c>
    </row>
    <row r="406" spans="1:2">
      <c r="A406" s="44">
        <v>41257</v>
      </c>
      <c r="B406" s="46">
        <v>656.69610542520513</v>
      </c>
    </row>
    <row r="407" spans="1:2">
      <c r="A407" s="44">
        <v>41258</v>
      </c>
      <c r="B407" s="46">
        <v>658.03103337611833</v>
      </c>
    </row>
    <row r="408" spans="1:2">
      <c r="A408" s="44">
        <v>41259</v>
      </c>
      <c r="B408" s="46">
        <v>659.17456668850127</v>
      </c>
    </row>
    <row r="409" spans="1:2">
      <c r="A409" s="44">
        <v>41260</v>
      </c>
      <c r="B409" s="46">
        <v>658.63147613987155</v>
      </c>
    </row>
    <row r="410" spans="1:2">
      <c r="A410" s="44">
        <v>41261</v>
      </c>
      <c r="B410" s="46">
        <v>660.27825369553955</v>
      </c>
    </row>
    <row r="411" spans="1:2">
      <c r="A411" s="44">
        <v>41262</v>
      </c>
    </row>
    <row r="412" spans="1:2">
      <c r="A412" s="44">
        <v>41263</v>
      </c>
      <c r="B412" s="46">
        <v>661.46738385765684</v>
      </c>
    </row>
    <row r="413" spans="1:2">
      <c r="A413" s="44">
        <v>41264</v>
      </c>
    </row>
    <row r="414" spans="1:2">
      <c r="A414" s="44">
        <v>41265</v>
      </c>
      <c r="B414" s="46">
        <v>661.61801614146464</v>
      </c>
    </row>
    <row r="415" spans="1:2">
      <c r="A415" s="44">
        <v>41266</v>
      </c>
    </row>
    <row r="416" spans="1:2">
      <c r="A416" s="44">
        <v>41267</v>
      </c>
      <c r="B416" s="46">
        <v>661.69379030538892</v>
      </c>
    </row>
    <row r="417" spans="1:2">
      <c r="A417" s="44">
        <v>41268</v>
      </c>
    </row>
    <row r="418" spans="1:2">
      <c r="A418" s="44">
        <v>41269</v>
      </c>
      <c r="B418" s="46">
        <v>661.18270915351729</v>
      </c>
    </row>
    <row r="419" spans="1:2">
      <c r="A419" s="44">
        <v>41270</v>
      </c>
      <c r="B419" s="46">
        <v>660.66587746340588</v>
      </c>
    </row>
    <row r="420" spans="1:2">
      <c r="A420" s="44">
        <v>41271</v>
      </c>
      <c r="B420" s="46">
        <v>659.84686516245108</v>
      </c>
    </row>
    <row r="421" spans="1:2">
      <c r="A421" s="44">
        <v>41272</v>
      </c>
      <c r="B421" s="46">
        <v>658.83645822717199</v>
      </c>
    </row>
    <row r="422" spans="1:2">
      <c r="A422" s="44">
        <v>41273</v>
      </c>
      <c r="B422" s="46">
        <v>659.0501932662869</v>
      </c>
    </row>
    <row r="423" spans="1:2">
      <c r="A423" s="44">
        <v>41274</v>
      </c>
      <c r="B423" s="46">
        <v>659.06378071618815</v>
      </c>
    </row>
    <row r="424" spans="1:2">
      <c r="A424" s="44">
        <v>41275</v>
      </c>
    </row>
    <row r="425" spans="1:2">
      <c r="A425" s="44">
        <v>41276</v>
      </c>
      <c r="B425" s="46">
        <v>658.29820217549798</v>
      </c>
    </row>
    <row r="426" spans="1:2">
      <c r="A426" s="44">
        <v>41277</v>
      </c>
      <c r="B426" s="46">
        <v>659.01909990968181</v>
      </c>
    </row>
    <row r="427" spans="1:2">
      <c r="A427" s="44">
        <v>41278</v>
      </c>
      <c r="B427" s="46">
        <v>659.39313622764689</v>
      </c>
    </row>
    <row r="428" spans="1:2">
      <c r="A428" s="44">
        <v>41279</v>
      </c>
      <c r="B428" s="46">
        <v>658.57895842477876</v>
      </c>
    </row>
    <row r="429" spans="1:2">
      <c r="A429" s="44">
        <v>41280</v>
      </c>
      <c r="B429" s="46">
        <v>658.83253977231323</v>
      </c>
    </row>
    <row r="430" spans="1:2">
      <c r="A430" s="44">
        <v>41281</v>
      </c>
      <c r="B430" s="46">
        <v>660.10919946487491</v>
      </c>
    </row>
    <row r="431" spans="1:2">
      <c r="A431" s="44">
        <v>41282</v>
      </c>
      <c r="B431" s="46">
        <v>661.00790437959392</v>
      </c>
    </row>
    <row r="432" spans="1:2">
      <c r="A432" s="44">
        <v>41283</v>
      </c>
      <c r="B432" s="46">
        <v>660.34044040567471</v>
      </c>
    </row>
    <row r="433" spans="1:2">
      <c r="A433" s="44">
        <v>41284</v>
      </c>
      <c r="B433" s="46">
        <v>659.21924749695154</v>
      </c>
    </row>
    <row r="434" spans="1:2">
      <c r="A434" s="44">
        <v>41285</v>
      </c>
      <c r="B434" s="46">
        <v>658.00477451954396</v>
      </c>
    </row>
    <row r="435" spans="1:2">
      <c r="A435" s="44">
        <v>41286</v>
      </c>
      <c r="B435" s="46">
        <v>658.2049221068138</v>
      </c>
    </row>
    <row r="436" spans="1:2">
      <c r="A436" s="44">
        <v>41287</v>
      </c>
      <c r="B436" s="46">
        <v>657.81337988214477</v>
      </c>
    </row>
    <row r="437" spans="1:2">
      <c r="A437" s="44">
        <v>41288</v>
      </c>
      <c r="B437" s="46">
        <v>658.5605364748468</v>
      </c>
    </row>
    <row r="438" spans="1:2">
      <c r="A438" s="44">
        <v>41289</v>
      </c>
      <c r="B438" s="46">
        <v>659.42422958425186</v>
      </c>
    </row>
    <row r="439" spans="1:2">
      <c r="A439" s="44">
        <v>41290</v>
      </c>
      <c r="B439" s="46">
        <v>658.57412392474805</v>
      </c>
    </row>
    <row r="440" spans="1:2">
      <c r="A440" s="44">
        <v>41291</v>
      </c>
      <c r="B440" s="46">
        <v>657.53262363286387</v>
      </c>
    </row>
    <row r="441" spans="1:2">
      <c r="A441" s="44">
        <v>41292</v>
      </c>
      <c r="B441" s="46">
        <v>659.22408199698236</v>
      </c>
    </row>
    <row r="442" spans="1:2">
      <c r="A442" s="44">
        <v>41293</v>
      </c>
    </row>
    <row r="443" spans="1:2">
      <c r="A443" s="44">
        <v>41294</v>
      </c>
      <c r="B443" s="46">
        <v>659.71373878534723</v>
      </c>
    </row>
    <row r="444" spans="1:2">
      <c r="A444" s="44">
        <v>41295</v>
      </c>
    </row>
    <row r="445" spans="1:2">
      <c r="A445" s="44">
        <v>41296</v>
      </c>
      <c r="B445" s="46">
        <v>656.99436758118986</v>
      </c>
    </row>
    <row r="446" spans="1:2">
      <c r="A446" s="44">
        <v>41297</v>
      </c>
      <c r="B446" s="46">
        <v>656.01355279613506</v>
      </c>
    </row>
    <row r="447" spans="1:2">
      <c r="A447" s="44">
        <v>41298</v>
      </c>
      <c r="B447" s="46">
        <v>655.67694554005561</v>
      </c>
    </row>
    <row r="448" spans="1:2">
      <c r="A448" s="44">
        <v>41299</v>
      </c>
      <c r="B448" s="46">
        <v>655.03182196785224</v>
      </c>
    </row>
    <row r="449" spans="1:2">
      <c r="A449" s="44">
        <v>41300</v>
      </c>
      <c r="B449" s="46">
        <v>653.60361394825475</v>
      </c>
    </row>
    <row r="450" spans="1:2">
      <c r="A450" s="44">
        <v>41301</v>
      </c>
      <c r="B450" s="46">
        <v>654.54699967449892</v>
      </c>
    </row>
    <row r="451" spans="1:2">
      <c r="A451" s="44">
        <v>41302</v>
      </c>
      <c r="B451" s="46">
        <v>655.49038539961191</v>
      </c>
    </row>
    <row r="452" spans="1:2">
      <c r="A452" s="44">
        <v>41303</v>
      </c>
      <c r="B452" s="46">
        <v>656.24237649040094</v>
      </c>
    </row>
    <row r="453" spans="1:2">
      <c r="A453" s="44">
        <v>41304</v>
      </c>
      <c r="B453" s="46">
        <v>656.44735857770138</v>
      </c>
    </row>
    <row r="454" spans="1:2">
      <c r="A454" s="44">
        <v>41305</v>
      </c>
      <c r="B454" s="46">
        <v>655.67694554005561</v>
      </c>
    </row>
    <row r="455" spans="1:2">
      <c r="A455" s="44">
        <v>41306</v>
      </c>
      <c r="B455" s="46">
        <v>655.46804499595248</v>
      </c>
    </row>
    <row r="456" spans="1:2">
      <c r="A456" s="44">
        <v>41307</v>
      </c>
    </row>
    <row r="457" spans="1:2">
      <c r="A457" s="44">
        <v>41308</v>
      </c>
      <c r="B457" s="46">
        <v>655.98637789438862</v>
      </c>
    </row>
    <row r="458" spans="1:2">
      <c r="A458" s="44">
        <v>41309</v>
      </c>
      <c r="B458" s="46">
        <v>656.50471079282499</v>
      </c>
    </row>
    <row r="459" spans="1:2">
      <c r="A459" s="44">
        <v>41310</v>
      </c>
      <c r="B459" s="46">
        <v>655.99754809775595</v>
      </c>
    </row>
    <row r="460" spans="1:2">
      <c r="A460" s="44">
        <v>41311</v>
      </c>
      <c r="B460" s="46">
        <v>655.45445754605123</v>
      </c>
    </row>
    <row r="461" spans="1:2">
      <c r="A461" s="44">
        <v>41312</v>
      </c>
      <c r="B461" s="46">
        <v>654.44888510772785</v>
      </c>
    </row>
    <row r="462" spans="1:2">
      <c r="A462" s="44">
        <v>41313</v>
      </c>
      <c r="B462" s="46">
        <v>653.02943004301994</v>
      </c>
    </row>
    <row r="463" spans="1:2">
      <c r="A463" s="44">
        <v>41314</v>
      </c>
    </row>
    <row r="464" spans="1:2">
      <c r="A464" s="44">
        <v>41315</v>
      </c>
    </row>
    <row r="465" spans="1:2">
      <c r="A465" s="44">
        <v>41316</v>
      </c>
    </row>
    <row r="466" spans="1:2">
      <c r="A466" s="44">
        <v>41317</v>
      </c>
    </row>
    <row r="467" spans="1:2">
      <c r="A467" s="44">
        <v>41318</v>
      </c>
      <c r="B467" s="46">
        <v>652.68694510424586</v>
      </c>
    </row>
    <row r="468" spans="1:2">
      <c r="A468" s="44">
        <v>41319</v>
      </c>
      <c r="B468" s="46">
        <v>652.20166479025067</v>
      </c>
    </row>
    <row r="469" spans="1:2">
      <c r="A469" s="44">
        <v>41320</v>
      </c>
      <c r="B469" s="46">
        <v>651.86113907736853</v>
      </c>
    </row>
    <row r="470" spans="1:2">
      <c r="A470" s="44">
        <v>41321</v>
      </c>
      <c r="B470" s="46">
        <v>650.79096267541308</v>
      </c>
    </row>
    <row r="471" spans="1:2">
      <c r="A471" s="44">
        <v>41322</v>
      </c>
      <c r="B471" s="46">
        <v>651.26703201695193</v>
      </c>
    </row>
    <row r="472" spans="1:2">
      <c r="A472" s="44">
        <v>41323</v>
      </c>
      <c r="B472" s="46">
        <v>650.47036011771274</v>
      </c>
    </row>
    <row r="473" spans="1:2">
      <c r="A473" s="44">
        <v>41324</v>
      </c>
      <c r="B473" s="46">
        <v>650.16817950994425</v>
      </c>
    </row>
    <row r="474" spans="1:2">
      <c r="A474" s="44">
        <v>41325</v>
      </c>
      <c r="B474" s="46">
        <v>649.12667921806019</v>
      </c>
    </row>
    <row r="475" spans="1:2">
      <c r="A475" s="44">
        <v>41326</v>
      </c>
      <c r="B475" s="46">
        <v>648.24548020195118</v>
      </c>
    </row>
    <row r="476" spans="1:2">
      <c r="A476" s="44">
        <v>41327</v>
      </c>
      <c r="B476" s="46">
        <v>647.8762783840167</v>
      </c>
    </row>
    <row r="477" spans="1:2">
      <c r="A477" s="44">
        <v>41328</v>
      </c>
      <c r="B477" s="46">
        <v>646.99507937098269</v>
      </c>
    </row>
    <row r="478" spans="1:2">
      <c r="A478" s="44">
        <v>41329</v>
      </c>
      <c r="B478" s="46">
        <v>646.70557016988744</v>
      </c>
    </row>
    <row r="479" spans="1:2">
      <c r="A479" s="44">
        <v>41330</v>
      </c>
      <c r="B479" s="46">
        <v>646.12746780979387</v>
      </c>
    </row>
    <row r="480" spans="1:2">
      <c r="A480" s="44">
        <v>41331</v>
      </c>
      <c r="B480" s="46">
        <v>646.94648010767366</v>
      </c>
    </row>
    <row r="481" spans="1:2">
      <c r="A481" s="44">
        <v>41332</v>
      </c>
      <c r="B481" s="46">
        <v>646.34120284696496</v>
      </c>
    </row>
    <row r="482" spans="1:2">
      <c r="A482" s="44">
        <v>41333</v>
      </c>
      <c r="B482" s="46">
        <v>645.40657007253515</v>
      </c>
    </row>
    <row r="483" spans="1:2">
      <c r="A483" s="44">
        <v>41334</v>
      </c>
      <c r="B483" s="46">
        <v>646.49275117286959</v>
      </c>
    </row>
    <row r="484" spans="1:2">
      <c r="A484" s="44">
        <v>41335</v>
      </c>
      <c r="B484" s="46">
        <v>648.09001342313161</v>
      </c>
    </row>
    <row r="485" spans="1:2">
      <c r="A485" s="44">
        <v>41336</v>
      </c>
      <c r="B485" s="46">
        <v>648.84200451392053</v>
      </c>
    </row>
    <row r="486" spans="1:2">
      <c r="A486" s="44">
        <v>41337</v>
      </c>
      <c r="B486" s="46">
        <v>647.83159757556643</v>
      </c>
    </row>
    <row r="487" spans="1:2">
      <c r="A487" s="44">
        <v>41338</v>
      </c>
      <c r="B487" s="46">
        <v>646.34120284696496</v>
      </c>
    </row>
    <row r="488" spans="1:2">
      <c r="A488" s="44">
        <v>41339</v>
      </c>
      <c r="B488" s="46">
        <v>646.25667573009503</v>
      </c>
    </row>
    <row r="489" spans="1:2">
      <c r="A489" s="44">
        <v>41340</v>
      </c>
      <c r="B489" s="46">
        <v>645.40657007253515</v>
      </c>
    </row>
    <row r="490" spans="1:2">
      <c r="A490" s="44">
        <v>41341</v>
      </c>
    </row>
    <row r="491" spans="1:2">
      <c r="A491" s="44">
        <v>41342</v>
      </c>
      <c r="B491" s="46">
        <v>644.29999999999995</v>
      </c>
    </row>
    <row r="492" spans="1:2">
      <c r="A492" s="44">
        <v>41343</v>
      </c>
    </row>
    <row r="493" spans="1:2">
      <c r="A493" s="44">
        <v>41344</v>
      </c>
      <c r="B493" s="46">
        <v>644.79999999999995</v>
      </c>
    </row>
    <row r="494" spans="1:2">
      <c r="A494" s="44">
        <v>41345</v>
      </c>
    </row>
    <row r="495" spans="1:2">
      <c r="A495" s="44">
        <v>41346</v>
      </c>
      <c r="B495" s="46">
        <v>646</v>
      </c>
    </row>
    <row r="496" spans="1:2">
      <c r="A496" s="44">
        <v>41347</v>
      </c>
    </row>
    <row r="497" spans="1:2">
      <c r="A497" s="44">
        <v>41348</v>
      </c>
      <c r="B497" s="46">
        <v>646.79999999999995</v>
      </c>
    </row>
    <row r="498" spans="1:2">
      <c r="A498" s="44">
        <v>41349</v>
      </c>
    </row>
    <row r="499" spans="1:2">
      <c r="A499" s="44">
        <v>41350</v>
      </c>
    </row>
    <row r="500" spans="1:2">
      <c r="A500" s="44">
        <v>41351</v>
      </c>
      <c r="B500" s="46">
        <v>647.6</v>
      </c>
    </row>
    <row r="501" spans="1:2">
      <c r="A501" s="44">
        <v>41352</v>
      </c>
    </row>
    <row r="502" spans="1:2">
      <c r="A502" s="44">
        <v>41353</v>
      </c>
      <c r="B502" s="46">
        <v>647.29999999999995</v>
      </c>
    </row>
    <row r="503" spans="1:2">
      <c r="A503" s="44">
        <v>41354</v>
      </c>
    </row>
    <row r="504" spans="1:2">
      <c r="A504" s="44">
        <v>41355</v>
      </c>
    </row>
    <row r="505" spans="1:2">
      <c r="A505" s="44">
        <v>41356</v>
      </c>
      <c r="B505" s="46">
        <v>647</v>
      </c>
    </row>
    <row r="506" spans="1:2">
      <c r="A506" s="44">
        <v>41357</v>
      </c>
    </row>
    <row r="507" spans="1:2">
      <c r="A507" s="44">
        <v>41358</v>
      </c>
      <c r="B507" s="46">
        <v>645.9</v>
      </c>
    </row>
    <row r="508" spans="1:2">
      <c r="A508" s="44">
        <v>41359</v>
      </c>
    </row>
    <row r="509" spans="1:2">
      <c r="A509" s="44">
        <v>41360</v>
      </c>
      <c r="B509" s="46">
        <v>645.1</v>
      </c>
    </row>
    <row r="510" spans="1:2">
      <c r="A510" s="44">
        <v>41361</v>
      </c>
    </row>
    <row r="511" spans="1:2">
      <c r="A511" s="44">
        <v>41362</v>
      </c>
    </row>
    <row r="512" spans="1:2">
      <c r="A512" s="44">
        <v>41363</v>
      </c>
      <c r="B512" s="46">
        <v>646.20000000000005</v>
      </c>
    </row>
    <row r="513" spans="1:2">
      <c r="A513" s="44">
        <v>41364</v>
      </c>
      <c r="B513" s="46">
        <v>647.29999999999995</v>
      </c>
    </row>
    <row r="514" spans="1:2">
      <c r="A514" s="44">
        <v>41365</v>
      </c>
    </row>
    <row r="515" spans="1:2">
      <c r="A515" s="44">
        <v>41366</v>
      </c>
      <c r="B515" s="46">
        <v>648.4</v>
      </c>
    </row>
    <row r="516" spans="1:2">
      <c r="A516" s="44">
        <v>41367</v>
      </c>
    </row>
    <row r="517" spans="1:2">
      <c r="A517" s="44">
        <v>41368</v>
      </c>
      <c r="B517" s="46">
        <v>647.9</v>
      </c>
    </row>
    <row r="518" spans="1:2">
      <c r="A518" s="44">
        <v>41369</v>
      </c>
    </row>
    <row r="519" spans="1:2">
      <c r="A519" s="44">
        <v>41370</v>
      </c>
      <c r="B519" s="46">
        <v>648</v>
      </c>
    </row>
    <row r="520" spans="1:2">
      <c r="A520" s="44">
        <v>41371</v>
      </c>
    </row>
    <row r="521" spans="1:2">
      <c r="A521" s="44">
        <v>41372</v>
      </c>
      <c r="B521" s="46">
        <v>646.9</v>
      </c>
    </row>
    <row r="522" spans="1:2">
      <c r="A522" s="44">
        <v>41373</v>
      </c>
    </row>
    <row r="523" spans="1:2">
      <c r="A523" s="44">
        <v>41374</v>
      </c>
      <c r="B523" s="46">
        <v>645.70000000000005</v>
      </c>
    </row>
    <row r="524" spans="1:2">
      <c r="A524" s="44">
        <v>41375</v>
      </c>
    </row>
    <row r="525" spans="1:2">
      <c r="A525" s="44">
        <v>41376</v>
      </c>
      <c r="B525" s="46">
        <v>646.4</v>
      </c>
    </row>
    <row r="526" spans="1:2">
      <c r="A526" s="44">
        <v>41377</v>
      </c>
    </row>
    <row r="527" spans="1:2">
      <c r="A527" s="44">
        <v>41378</v>
      </c>
    </row>
    <row r="528" spans="1:2">
      <c r="A528" s="44">
        <v>41379</v>
      </c>
      <c r="B528" s="46">
        <v>645.9</v>
      </c>
    </row>
    <row r="529" spans="1:2">
      <c r="A529" s="44">
        <v>41380</v>
      </c>
    </row>
    <row r="530" spans="1:2">
      <c r="A530" s="44">
        <v>41381</v>
      </c>
      <c r="B530" s="46">
        <v>646.70000000000005</v>
      </c>
    </row>
    <row r="531" spans="1:2">
      <c r="A531" s="44">
        <v>41382</v>
      </c>
    </row>
    <row r="532" spans="1:2">
      <c r="A532" s="44">
        <v>41383</v>
      </c>
      <c r="B532" s="46">
        <v>646.29999999999995</v>
      </c>
    </row>
    <row r="533" spans="1:2">
      <c r="A533" s="44">
        <v>41384</v>
      </c>
    </row>
    <row r="534" spans="1:2">
      <c r="A534" s="44">
        <v>41385</v>
      </c>
    </row>
    <row r="535" spans="1:2">
      <c r="A535" s="44">
        <v>41386</v>
      </c>
      <c r="B535" s="46">
        <v>645</v>
      </c>
    </row>
    <row r="536" spans="1:2">
      <c r="A536" s="44">
        <v>41387</v>
      </c>
    </row>
    <row r="537" spans="1:2">
      <c r="A537" s="44">
        <v>41388</v>
      </c>
      <c r="B537" s="46">
        <v>645.5</v>
      </c>
    </row>
    <row r="538" spans="1:2">
      <c r="A538" s="44">
        <v>41389</v>
      </c>
    </row>
    <row r="539" spans="1:2">
      <c r="A539" s="44">
        <v>41390</v>
      </c>
      <c r="B539" s="46">
        <v>645.9</v>
      </c>
    </row>
    <row r="540" spans="1:2">
      <c r="A540" s="44">
        <v>41391</v>
      </c>
    </row>
    <row r="541" spans="1:2">
      <c r="A541" s="44">
        <v>41392</v>
      </c>
    </row>
    <row r="542" spans="1:2">
      <c r="A542" s="44">
        <v>41393</v>
      </c>
      <c r="B542" s="46">
        <v>647</v>
      </c>
    </row>
    <row r="543" spans="1:2">
      <c r="A543" s="44">
        <v>41394</v>
      </c>
    </row>
    <row r="544" spans="1:2">
      <c r="A544" s="44">
        <v>41395</v>
      </c>
    </row>
    <row r="545" spans="1:2">
      <c r="A545" s="44">
        <v>41396</v>
      </c>
      <c r="B545" s="46">
        <v>647.6</v>
      </c>
    </row>
    <row r="546" spans="1:2">
      <c r="A546" s="44">
        <v>41397</v>
      </c>
    </row>
    <row r="547" spans="1:2">
      <c r="A547" s="44">
        <v>41398</v>
      </c>
      <c r="B547" s="46">
        <v>646.29999999999995</v>
      </c>
    </row>
    <row r="548" spans="1:2">
      <c r="A548" s="44">
        <v>41399</v>
      </c>
    </row>
    <row r="549" spans="1:2">
      <c r="A549" s="44">
        <v>41400</v>
      </c>
      <c r="B549" s="46">
        <v>645.54453094966959</v>
      </c>
    </row>
    <row r="550" spans="1:2">
      <c r="A550" s="44">
        <v>41401</v>
      </c>
    </row>
    <row r="551" spans="1:2">
      <c r="A551" s="44">
        <v>41402</v>
      </c>
      <c r="B551" s="46">
        <v>645.94574216743717</v>
      </c>
    </row>
    <row r="552" spans="1:2">
      <c r="A552" s="44">
        <v>41403</v>
      </c>
    </row>
    <row r="553" spans="1:2">
      <c r="A553" s="44">
        <v>41404</v>
      </c>
    </row>
    <row r="554" spans="1:2">
      <c r="A554" s="44">
        <v>41405</v>
      </c>
      <c r="B554" s="46">
        <v>645.78544088858689</v>
      </c>
    </row>
    <row r="555" spans="1:2">
      <c r="A555" s="44">
        <v>41406</v>
      </c>
    </row>
    <row r="556" spans="1:2">
      <c r="A556" s="44">
        <v>41407</v>
      </c>
      <c r="B556" s="46">
        <v>646.33244989401931</v>
      </c>
    </row>
    <row r="557" spans="1:2">
      <c r="A557" s="44">
        <v>41408</v>
      </c>
    </row>
    <row r="558" spans="1:2">
      <c r="A558" s="44">
        <v>41409</v>
      </c>
      <c r="B558" s="46">
        <v>646.23433532837942</v>
      </c>
    </row>
    <row r="559" spans="1:2">
      <c r="A559" s="44">
        <v>41410</v>
      </c>
    </row>
    <row r="560" spans="1:2">
      <c r="A560" s="44">
        <v>41411</v>
      </c>
    </row>
    <row r="561" spans="1:2">
      <c r="A561" s="44">
        <v>41412</v>
      </c>
      <c r="B561" s="46">
        <v>646.40338955909806</v>
      </c>
    </row>
    <row r="562" spans="1:2">
      <c r="A562" s="44">
        <v>41413</v>
      </c>
    </row>
    <row r="563" spans="1:2">
      <c r="A563" s="44">
        <v>41414</v>
      </c>
      <c r="B563" s="46">
        <v>645.95841357610834</v>
      </c>
    </row>
    <row r="564" spans="1:2">
      <c r="A564" s="44">
        <v>41415</v>
      </c>
    </row>
    <row r="565" spans="1:2">
      <c r="A565" s="44">
        <v>41416</v>
      </c>
    </row>
    <row r="566" spans="1:2">
      <c r="A566" s="44">
        <v>41417</v>
      </c>
      <c r="B566" s="46">
        <v>645.7893593454437</v>
      </c>
    </row>
    <row r="567" spans="1:2">
      <c r="A567" s="44">
        <v>41418</v>
      </c>
    </row>
    <row r="568" spans="1:2">
      <c r="A568" s="44">
        <v>41419</v>
      </c>
      <c r="B568" s="46">
        <v>646.36354325067862</v>
      </c>
    </row>
    <row r="569" spans="1:2">
      <c r="A569" s="44">
        <v>41420</v>
      </c>
    </row>
    <row r="570" spans="1:2">
      <c r="A570" s="44">
        <v>41421</v>
      </c>
      <c r="B570" s="46">
        <v>646.14980821156371</v>
      </c>
    </row>
    <row r="571" spans="1:2">
      <c r="A571" s="44">
        <v>41422</v>
      </c>
    </row>
    <row r="572" spans="1:2">
      <c r="A572" s="44">
        <v>41423</v>
      </c>
      <c r="B572" s="46">
        <v>646.71915762178674</v>
      </c>
    </row>
    <row r="573" spans="1:2">
      <c r="A573" s="44">
        <v>41424</v>
      </c>
    </row>
    <row r="574" spans="1:2">
      <c r="A574" s="44">
        <v>41425</v>
      </c>
      <c r="B574" s="46">
        <v>645.92248572254755</v>
      </c>
    </row>
    <row r="575" spans="1:2">
      <c r="A575" s="44">
        <v>41426</v>
      </c>
    </row>
    <row r="576" spans="1:2">
      <c r="A576" s="44">
        <v>41427</v>
      </c>
    </row>
    <row r="577" spans="1:2">
      <c r="A577" s="44">
        <v>41428</v>
      </c>
      <c r="B577" s="50">
        <v>645.29486805704801</v>
      </c>
    </row>
    <row r="578" spans="1:2">
      <c r="A578" s="44">
        <v>41429</v>
      </c>
      <c r="B578" s="50"/>
    </row>
    <row r="579" spans="1:2">
      <c r="A579" s="44">
        <v>41430</v>
      </c>
      <c r="B579" s="50"/>
    </row>
    <row r="580" spans="1:2">
      <c r="A580" s="44">
        <v>41431</v>
      </c>
      <c r="B580" s="50"/>
    </row>
    <row r="581" spans="1:2">
      <c r="A581" s="44">
        <v>41432</v>
      </c>
      <c r="B581" s="50"/>
    </row>
    <row r="582" spans="1:2">
      <c r="A582" s="44">
        <v>41433</v>
      </c>
      <c r="B582" s="50"/>
    </row>
    <row r="583" spans="1:2">
      <c r="A583" s="44">
        <v>41434</v>
      </c>
      <c r="B583" s="50"/>
    </row>
    <row r="584" spans="1:2">
      <c r="A584" s="44">
        <v>41435</v>
      </c>
      <c r="B584" s="50">
        <v>645.46392229078776</v>
      </c>
    </row>
    <row r="585" spans="1:2">
      <c r="A585" s="44">
        <v>41436</v>
      </c>
      <c r="B585" s="50"/>
    </row>
    <row r="586" spans="1:2">
      <c r="A586" s="44">
        <v>41437</v>
      </c>
      <c r="B586" s="50"/>
    </row>
    <row r="587" spans="1:2">
      <c r="A587" s="44">
        <v>41438</v>
      </c>
      <c r="B587" s="50"/>
    </row>
    <row r="588" spans="1:2">
      <c r="A588" s="44">
        <v>41439</v>
      </c>
      <c r="B588" s="50"/>
    </row>
    <row r="589" spans="1:2">
      <c r="A589" s="44">
        <v>41440</v>
      </c>
      <c r="B589" s="50"/>
    </row>
    <row r="590" spans="1:2">
      <c r="A590" s="44">
        <v>41441</v>
      </c>
      <c r="B590" s="50"/>
    </row>
    <row r="591" spans="1:2">
      <c r="A591" s="44">
        <v>41442</v>
      </c>
      <c r="B591" s="50"/>
    </row>
    <row r="592" spans="1:2">
      <c r="A592" s="44">
        <v>41443</v>
      </c>
      <c r="B592" s="50"/>
    </row>
    <row r="593" spans="1:2">
      <c r="A593" s="44">
        <v>41444</v>
      </c>
      <c r="B593" s="50"/>
    </row>
    <row r="594" spans="1:2">
      <c r="A594" s="44">
        <v>41445</v>
      </c>
      <c r="B594" s="50">
        <v>645.05003966132801</v>
      </c>
    </row>
    <row r="595" spans="1:2">
      <c r="A595" s="44">
        <v>41446</v>
      </c>
      <c r="B595" s="50"/>
    </row>
    <row r="596" spans="1:2">
      <c r="A596" s="44">
        <v>41447</v>
      </c>
      <c r="B596" s="50"/>
    </row>
    <row r="597" spans="1:2">
      <c r="A597" s="44">
        <v>41448</v>
      </c>
      <c r="B597" s="50"/>
    </row>
    <row r="598" spans="1:2">
      <c r="A598" s="44">
        <v>41449</v>
      </c>
      <c r="B598" s="50"/>
    </row>
    <row r="599" spans="1:2">
      <c r="A599" s="44">
        <v>41450</v>
      </c>
      <c r="B599" s="50"/>
    </row>
    <row r="600" spans="1:2">
      <c r="A600" s="44">
        <v>41451</v>
      </c>
      <c r="B600" s="50"/>
    </row>
    <row r="601" spans="1:2">
      <c r="A601" s="44">
        <v>41452</v>
      </c>
      <c r="B601" s="50"/>
    </row>
    <row r="602" spans="1:2">
      <c r="A602" s="44">
        <v>41453</v>
      </c>
      <c r="B602" s="50">
        <v>645.74467853699355</v>
      </c>
    </row>
    <row r="603" spans="1:2">
      <c r="A603" s="44">
        <v>41454</v>
      </c>
    </row>
    <row r="604" spans="1:2">
      <c r="A604" s="44">
        <v>41455</v>
      </c>
    </row>
    <row r="605" spans="1:2">
      <c r="A605" s="44">
        <v>41456</v>
      </c>
    </row>
    <row r="606" spans="1:2">
      <c r="A606" s="44">
        <v>41457</v>
      </c>
    </row>
    <row r="607" spans="1:2">
      <c r="A607" s="44">
        <v>41458</v>
      </c>
    </row>
    <row r="608" spans="1:2">
      <c r="A608" s="44">
        <v>41459</v>
      </c>
      <c r="B608" s="46">
        <v>645.47750973955783</v>
      </c>
    </row>
    <row r="609" spans="1:2">
      <c r="A609" s="44">
        <v>41460</v>
      </c>
    </row>
    <row r="610" spans="1:2">
      <c r="A610" s="44">
        <v>41461</v>
      </c>
    </row>
    <row r="611" spans="1:2">
      <c r="A611" s="44">
        <v>41462</v>
      </c>
    </row>
    <row r="612" spans="1:2">
      <c r="A612" s="44">
        <v>41463</v>
      </c>
    </row>
    <row r="613" spans="1:2">
      <c r="A613" s="44">
        <v>41464</v>
      </c>
    </row>
    <row r="614" spans="1:2">
      <c r="A614" s="44">
        <v>41465</v>
      </c>
    </row>
    <row r="615" spans="1:2">
      <c r="A615" s="44">
        <v>41466</v>
      </c>
      <c r="B615" s="46">
        <v>646.42964841761636</v>
      </c>
    </row>
    <row r="616" spans="1:2">
      <c r="A616" s="44">
        <v>41467</v>
      </c>
    </row>
    <row r="617" spans="1:2">
      <c r="A617" s="44">
        <v>41468</v>
      </c>
    </row>
    <row r="618" spans="1:2">
      <c r="A618" s="44">
        <v>41469</v>
      </c>
    </row>
    <row r="619" spans="1:2">
      <c r="A619" s="44">
        <v>41470</v>
      </c>
    </row>
    <row r="620" spans="1:2">
      <c r="A620" s="44">
        <v>41471</v>
      </c>
    </row>
    <row r="621" spans="1:2">
      <c r="A621" s="44">
        <v>41472</v>
      </c>
    </row>
    <row r="622" spans="1:2">
      <c r="A622" s="44">
        <v>41473</v>
      </c>
      <c r="B622" s="46">
        <v>645.58437725814338</v>
      </c>
    </row>
    <row r="623" spans="1:2">
      <c r="A623" s="44">
        <v>41474</v>
      </c>
    </row>
    <row r="624" spans="1:2">
      <c r="A624" s="44">
        <v>41475</v>
      </c>
    </row>
    <row r="625" spans="1:2">
      <c r="A625" s="44">
        <v>41476</v>
      </c>
    </row>
    <row r="626" spans="1:2">
      <c r="A626" s="44">
        <v>41477</v>
      </c>
    </row>
    <row r="627" spans="1:2">
      <c r="A627" s="44">
        <v>41478</v>
      </c>
    </row>
    <row r="628" spans="1:2">
      <c r="A628" s="44">
        <v>41479</v>
      </c>
    </row>
    <row r="629" spans="1:2">
      <c r="A629" s="44">
        <v>41480</v>
      </c>
      <c r="B629" s="46">
        <v>645.31720846070755</v>
      </c>
    </row>
    <row r="630" spans="1:2">
      <c r="A630" s="44">
        <v>41481</v>
      </c>
    </row>
    <row r="631" spans="1:2">
      <c r="A631" s="44">
        <v>41482</v>
      </c>
    </row>
    <row r="632" spans="1:2">
      <c r="A632" s="44">
        <v>41483</v>
      </c>
    </row>
    <row r="633" spans="1:2">
      <c r="A633" s="44">
        <v>41484</v>
      </c>
    </row>
    <row r="634" spans="1:2">
      <c r="A634" s="44">
        <v>41485</v>
      </c>
    </row>
    <row r="635" spans="1:2">
      <c r="A635" s="44">
        <v>41486</v>
      </c>
    </row>
    <row r="636" spans="1:2">
      <c r="A636" s="44">
        <v>41487</v>
      </c>
    </row>
    <row r="637" spans="1:2">
      <c r="A637" s="44">
        <v>41488</v>
      </c>
    </row>
    <row r="638" spans="1:2">
      <c r="A638" s="44">
        <v>41489</v>
      </c>
    </row>
    <row r="639" spans="1:2">
      <c r="A639" s="44">
        <v>41490</v>
      </c>
    </row>
    <row r="640" spans="1:2">
      <c r="A640" s="44">
        <v>41491</v>
      </c>
    </row>
    <row r="641" spans="1:1">
      <c r="A641" s="44">
        <v>41492</v>
      </c>
    </row>
    <row r="642" spans="1:1">
      <c r="A642" s="44">
        <v>41493</v>
      </c>
    </row>
    <row r="643" spans="1:1">
      <c r="A643" s="44">
        <v>41494</v>
      </c>
    </row>
    <row r="644" spans="1:1">
      <c r="A644" s="44">
        <v>41495</v>
      </c>
    </row>
    <row r="645" spans="1:1">
      <c r="A645" s="44">
        <v>41496</v>
      </c>
    </row>
    <row r="646" spans="1:1">
      <c r="A646" s="44">
        <v>41497</v>
      </c>
    </row>
    <row r="647" spans="1:1">
      <c r="A647" s="44">
        <v>41498</v>
      </c>
    </row>
    <row r="648" spans="1:1">
      <c r="A648" s="44">
        <v>41499</v>
      </c>
    </row>
    <row r="649" spans="1:1">
      <c r="A649" s="44">
        <v>41500</v>
      </c>
    </row>
    <row r="650" spans="1:1">
      <c r="A650" s="44">
        <v>41501</v>
      </c>
    </row>
    <row r="651" spans="1:1">
      <c r="A651" s="44">
        <v>41502</v>
      </c>
    </row>
    <row r="652" spans="1:1">
      <c r="A652" s="44">
        <v>41503</v>
      </c>
    </row>
    <row r="653" spans="1:1">
      <c r="A653" s="44">
        <v>41504</v>
      </c>
    </row>
    <row r="654" spans="1:1">
      <c r="A654" s="44">
        <v>41505</v>
      </c>
    </row>
    <row r="655" spans="1:1">
      <c r="A655" s="44">
        <v>41506</v>
      </c>
    </row>
    <row r="656" spans="1:1">
      <c r="A656" s="44">
        <v>41507</v>
      </c>
    </row>
    <row r="657" spans="1:1">
      <c r="A657" s="44">
        <v>41508</v>
      </c>
    </row>
    <row r="658" spans="1:1">
      <c r="A658" s="44">
        <v>41509</v>
      </c>
    </row>
    <row r="659" spans="1:1">
      <c r="A659" s="44">
        <v>41510</v>
      </c>
    </row>
    <row r="660" spans="1:1">
      <c r="A660" s="44">
        <v>41511</v>
      </c>
    </row>
    <row r="661" spans="1:1">
      <c r="A661" s="44">
        <v>41512</v>
      </c>
    </row>
    <row r="662" spans="1:1">
      <c r="A662" s="44">
        <v>41513</v>
      </c>
    </row>
    <row r="663" spans="1:1">
      <c r="A663" s="44">
        <v>41514</v>
      </c>
    </row>
    <row r="664" spans="1:1">
      <c r="A664" s="44">
        <v>41515</v>
      </c>
    </row>
    <row r="665" spans="1:1">
      <c r="A665" s="44">
        <v>41516</v>
      </c>
    </row>
    <row r="666" spans="1:1">
      <c r="A666" s="44">
        <v>41517</v>
      </c>
    </row>
    <row r="667" spans="1:1">
      <c r="A667" s="44">
        <v>41518</v>
      </c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E548"/>
  <sheetViews>
    <sheetView zoomScaleNormal="100" workbookViewId="0">
      <selection activeCell="K21" sqref="K21"/>
    </sheetView>
  </sheetViews>
  <sheetFormatPr defaultColWidth="20.7109375" defaultRowHeight="12.75"/>
  <cols>
    <col min="1" max="1" width="1.85546875" style="3" customWidth="1"/>
    <col min="2" max="2" width="20.7109375" style="46" customWidth="1"/>
    <col min="3" max="3" width="27.7109375" style="46" customWidth="1"/>
    <col min="4" max="4" width="1.28515625" style="46" customWidth="1"/>
    <col min="5" max="5" width="20.7109375" style="46" customWidth="1"/>
    <col min="6" max="6" width="23.7109375" style="46" customWidth="1"/>
    <col min="7" max="7" width="1.5703125" style="46" customWidth="1"/>
    <col min="8" max="8" width="20.7109375" style="46" customWidth="1"/>
    <col min="9" max="9" width="27.7109375" style="46" customWidth="1"/>
    <col min="10" max="10" width="1.28515625" style="3" customWidth="1"/>
    <col min="11" max="11" width="20.7109375" style="46" customWidth="1"/>
    <col min="12" max="12" width="27.7109375" style="46" customWidth="1"/>
    <col min="13" max="13" width="1.28515625" style="3" customWidth="1"/>
    <col min="14" max="15" width="9.140625" style="46" customWidth="1"/>
    <col min="16" max="16" width="9.140625" style="3" customWidth="1"/>
    <col min="17" max="18" width="9.140625" style="46" customWidth="1"/>
    <col min="19" max="19" width="9.140625" style="3" customWidth="1"/>
    <col min="20" max="21" width="9.140625" style="46" customWidth="1"/>
    <col min="22" max="47" width="9.140625" style="3" customWidth="1"/>
    <col min="48" max="48" width="17.85546875" style="3" customWidth="1"/>
    <col min="49" max="49" width="25" style="46" customWidth="1"/>
    <col min="50" max="50" width="2.85546875" style="3" customWidth="1"/>
    <col min="51" max="51" width="18.42578125" style="3" customWidth="1"/>
    <col min="52" max="52" width="16.5703125" style="46" customWidth="1"/>
    <col min="53" max="53" width="1.5703125" style="3" customWidth="1"/>
    <col min="54" max="54" width="18.5703125" style="3" customWidth="1"/>
    <col min="55" max="55" width="16" style="46" customWidth="1"/>
    <col min="56" max="56" width="15.28515625" style="3" customWidth="1"/>
    <col min="57" max="16384" width="20.7109375" style="3"/>
  </cols>
  <sheetData>
    <row r="2" spans="2:50">
      <c r="B2" s="52" t="s">
        <v>126</v>
      </c>
    </row>
    <row r="3" spans="2:50" ht="8.25" customHeight="1">
      <c r="B3" s="34"/>
    </row>
    <row r="4" spans="2:50">
      <c r="B4" s="53" t="s">
        <v>134</v>
      </c>
    </row>
    <row r="5" spans="2:50" ht="7.5" customHeight="1">
      <c r="B5" s="51"/>
    </row>
    <row r="6" spans="2:50">
      <c r="B6" s="54" t="s">
        <v>113</v>
      </c>
      <c r="C6" s="54"/>
      <c r="D6" s="54"/>
      <c r="E6" s="54" t="s">
        <v>114</v>
      </c>
      <c r="F6" s="54"/>
      <c r="G6" s="54"/>
      <c r="H6" s="55" t="s">
        <v>115</v>
      </c>
    </row>
    <row r="7" spans="2:50">
      <c r="B7" s="46" t="s">
        <v>125</v>
      </c>
      <c r="C7" s="46" t="s">
        <v>128</v>
      </c>
      <c r="E7" s="46" t="s">
        <v>125</v>
      </c>
      <c r="F7" s="46" t="s">
        <v>127</v>
      </c>
      <c r="H7" s="46" t="s">
        <v>125</v>
      </c>
      <c r="I7" s="46" t="s">
        <v>129</v>
      </c>
    </row>
    <row r="8" spans="2:50">
      <c r="B8" s="46" t="s">
        <v>120</v>
      </c>
      <c r="C8" s="56">
        <v>41351</v>
      </c>
      <c r="D8" s="56"/>
      <c r="E8" s="46" t="s">
        <v>120</v>
      </c>
      <c r="F8" s="56">
        <v>41351</v>
      </c>
      <c r="G8" s="56"/>
      <c r="H8" s="46" t="s">
        <v>120</v>
      </c>
      <c r="I8" s="56">
        <v>41351</v>
      </c>
    </row>
    <row r="9" spans="2:50" s="59" customFormat="1" ht="32.25" customHeight="1">
      <c r="B9" s="57" t="s">
        <v>123</v>
      </c>
      <c r="C9" s="58">
        <v>59.11</v>
      </c>
      <c r="D9" s="58"/>
      <c r="E9" s="57" t="s">
        <v>123</v>
      </c>
      <c r="F9" s="58">
        <v>58.997999999999998</v>
      </c>
      <c r="G9" s="58"/>
      <c r="H9" s="57" t="s">
        <v>123</v>
      </c>
      <c r="I9" s="58">
        <v>51.895000000000003</v>
      </c>
      <c r="AX9" s="3"/>
    </row>
    <row r="10" spans="2:50" s="59" customFormat="1" ht="30.75" customHeight="1">
      <c r="B10" s="57" t="s">
        <v>124</v>
      </c>
      <c r="C10" s="58">
        <f>C108</f>
        <v>55.79</v>
      </c>
      <c r="D10" s="58"/>
      <c r="E10" s="57" t="s">
        <v>124</v>
      </c>
      <c r="F10" s="58">
        <f>F112</f>
        <v>53.76</v>
      </c>
      <c r="G10" s="58"/>
      <c r="H10" s="57" t="s">
        <v>124</v>
      </c>
      <c r="I10" s="58">
        <f>I128</f>
        <v>45.87</v>
      </c>
      <c r="AX10" s="3"/>
    </row>
    <row r="11" spans="2:50" s="59" customFormat="1" ht="9" customHeight="1">
      <c r="B11" s="57"/>
      <c r="C11" s="58"/>
      <c r="D11" s="58"/>
      <c r="E11" s="58"/>
      <c r="F11" s="58"/>
      <c r="G11" s="58"/>
      <c r="H11" s="58"/>
      <c r="I11" s="58"/>
      <c r="AX11" s="3"/>
    </row>
    <row r="12" spans="2:50" ht="32.25" customHeight="1">
      <c r="B12" s="60" t="s">
        <v>121</v>
      </c>
      <c r="C12" s="60" t="s">
        <v>122</v>
      </c>
      <c r="D12" s="60"/>
      <c r="E12" s="60" t="s">
        <v>121</v>
      </c>
      <c r="F12" s="60" t="s">
        <v>122</v>
      </c>
      <c r="H12" s="60" t="s">
        <v>121</v>
      </c>
      <c r="I12" s="60" t="s">
        <v>122</v>
      </c>
    </row>
    <row r="13" spans="2:50" ht="8.25" customHeight="1"/>
    <row r="14" spans="2:50">
      <c r="B14" s="46">
        <v>-226.13</v>
      </c>
      <c r="C14" s="46">
        <v>102.79</v>
      </c>
      <c r="E14" s="46">
        <v>-187.22</v>
      </c>
      <c r="F14" s="46">
        <v>102.76</v>
      </c>
      <c r="H14" s="46">
        <v>-316.58</v>
      </c>
      <c r="I14" s="46">
        <v>102.87</v>
      </c>
    </row>
    <row r="15" spans="2:50">
      <c r="B15" s="46">
        <v>-227.31</v>
      </c>
      <c r="C15" s="46">
        <v>102.29</v>
      </c>
      <c r="E15" s="46">
        <v>-188.03</v>
      </c>
      <c r="F15" s="46">
        <v>102.26</v>
      </c>
      <c r="H15" s="46">
        <v>-317.22000000000003</v>
      </c>
      <c r="I15" s="46">
        <v>102.37</v>
      </c>
    </row>
    <row r="16" spans="2:50">
      <c r="B16" s="46">
        <v>-228.64</v>
      </c>
      <c r="C16" s="46">
        <v>101.79</v>
      </c>
      <c r="E16" s="46">
        <v>-188.62</v>
      </c>
      <c r="F16" s="46">
        <v>101.76</v>
      </c>
      <c r="H16" s="46">
        <v>-320.08</v>
      </c>
      <c r="I16" s="46">
        <v>101.87</v>
      </c>
    </row>
    <row r="17" spans="2:57">
      <c r="B17" s="46">
        <v>-229.95</v>
      </c>
      <c r="C17" s="46">
        <v>101.29</v>
      </c>
      <c r="E17" s="46">
        <v>-189.5</v>
      </c>
      <c r="F17" s="46">
        <v>101.26</v>
      </c>
      <c r="H17" s="46">
        <v>-323.82</v>
      </c>
      <c r="I17" s="46">
        <v>101.37</v>
      </c>
    </row>
    <row r="18" spans="2:57">
      <c r="B18" s="46">
        <v>-230.99</v>
      </c>
      <c r="C18" s="46">
        <v>100.79</v>
      </c>
      <c r="E18" s="46">
        <v>-190.38</v>
      </c>
      <c r="F18" s="46">
        <v>100.76</v>
      </c>
      <c r="H18" s="46">
        <v>-326.29000000000002</v>
      </c>
      <c r="I18" s="46">
        <v>100.87</v>
      </c>
    </row>
    <row r="19" spans="2:57">
      <c r="B19" s="46">
        <v>-231.07</v>
      </c>
      <c r="C19" s="46">
        <v>100.29</v>
      </c>
      <c r="E19" s="46">
        <v>-191.83</v>
      </c>
      <c r="F19" s="46">
        <v>100.26</v>
      </c>
      <c r="H19" s="46">
        <v>-327.02999999999997</v>
      </c>
      <c r="I19" s="46">
        <v>100.37</v>
      </c>
    </row>
    <row r="20" spans="2:57">
      <c r="B20" s="46">
        <v>-230.88</v>
      </c>
      <c r="C20" s="46">
        <v>99.79</v>
      </c>
      <c r="E20" s="46">
        <v>-192.6</v>
      </c>
      <c r="F20" s="46">
        <v>99.76</v>
      </c>
      <c r="H20" s="46">
        <v>-325.92</v>
      </c>
      <c r="I20" s="46">
        <v>99.87</v>
      </c>
    </row>
    <row r="21" spans="2:57">
      <c r="B21" s="46">
        <v>-230.89</v>
      </c>
      <c r="C21" s="46">
        <v>99.29</v>
      </c>
      <c r="E21" s="46">
        <v>-193.27</v>
      </c>
      <c r="F21" s="46">
        <v>99.26</v>
      </c>
      <c r="H21" s="46">
        <v>-323.10000000000002</v>
      </c>
      <c r="I21" s="46">
        <v>99.37</v>
      </c>
      <c r="BE21" s="59"/>
    </row>
    <row r="22" spans="2:57">
      <c r="B22" s="46">
        <v>-231.02</v>
      </c>
      <c r="C22" s="46">
        <v>98.79</v>
      </c>
      <c r="E22" s="46">
        <v>-194.12</v>
      </c>
      <c r="F22" s="46">
        <v>98.76</v>
      </c>
      <c r="H22" s="46">
        <v>-319.2</v>
      </c>
      <c r="I22" s="46">
        <v>98.87</v>
      </c>
    </row>
    <row r="23" spans="2:57">
      <c r="B23" s="46">
        <v>-230.8</v>
      </c>
      <c r="C23" s="46">
        <v>98.29</v>
      </c>
      <c r="E23" s="46">
        <v>-195.3</v>
      </c>
      <c r="F23" s="46">
        <v>98.26</v>
      </c>
      <c r="H23" s="46">
        <v>-315.43</v>
      </c>
      <c r="I23" s="46">
        <v>98.37</v>
      </c>
    </row>
    <row r="24" spans="2:57">
      <c r="B24" s="46">
        <v>-230.25</v>
      </c>
      <c r="C24" s="46">
        <v>97.79</v>
      </c>
      <c r="E24" s="46">
        <v>-196.17</v>
      </c>
      <c r="F24" s="46">
        <v>97.76</v>
      </c>
      <c r="H24" s="46">
        <v>-313.5</v>
      </c>
      <c r="I24" s="46">
        <v>97.87</v>
      </c>
      <c r="BE24" s="59"/>
    </row>
    <row r="25" spans="2:57">
      <c r="B25" s="46">
        <v>-229.33</v>
      </c>
      <c r="C25" s="46">
        <v>97.29</v>
      </c>
      <c r="E25" s="46">
        <v>-196.07</v>
      </c>
      <c r="F25" s="46">
        <v>97.26</v>
      </c>
      <c r="H25" s="46">
        <v>-312.27999999999997</v>
      </c>
      <c r="I25" s="46">
        <v>97.37</v>
      </c>
    </row>
    <row r="26" spans="2:57">
      <c r="B26" s="46">
        <v>-228.38</v>
      </c>
      <c r="C26" s="46">
        <v>96.79</v>
      </c>
      <c r="E26" s="46">
        <v>-196.33</v>
      </c>
      <c r="F26" s="46">
        <v>96.76</v>
      </c>
      <c r="H26" s="46">
        <v>-310.91000000000003</v>
      </c>
      <c r="I26" s="46">
        <v>96.87</v>
      </c>
    </row>
    <row r="27" spans="2:57">
      <c r="B27" s="46">
        <v>-227.33</v>
      </c>
      <c r="C27" s="46">
        <v>96.29</v>
      </c>
      <c r="E27" s="46">
        <v>-196.33</v>
      </c>
      <c r="F27" s="46">
        <v>96.26</v>
      </c>
      <c r="H27" s="46">
        <v>-309.05</v>
      </c>
      <c r="I27" s="46">
        <v>96.37</v>
      </c>
    </row>
    <row r="28" spans="2:57">
      <c r="B28" s="46">
        <v>-225.97</v>
      </c>
      <c r="C28" s="46">
        <v>95.79</v>
      </c>
      <c r="E28" s="46">
        <v>-196.46</v>
      </c>
      <c r="F28" s="46">
        <v>95.76</v>
      </c>
      <c r="H28" s="46">
        <v>-307.02999999999997</v>
      </c>
      <c r="I28" s="46">
        <v>95.87</v>
      </c>
    </row>
    <row r="29" spans="2:57">
      <c r="B29" s="46">
        <v>-224.42</v>
      </c>
      <c r="C29" s="46">
        <v>95.29</v>
      </c>
      <c r="E29" s="46">
        <v>-196.57</v>
      </c>
      <c r="F29" s="46">
        <v>95.26</v>
      </c>
      <c r="H29" s="46">
        <v>-304.73</v>
      </c>
      <c r="I29" s="46">
        <v>95.37</v>
      </c>
    </row>
    <row r="30" spans="2:57">
      <c r="B30" s="46">
        <v>-222.68</v>
      </c>
      <c r="C30" s="46">
        <v>94.79</v>
      </c>
      <c r="E30" s="46">
        <v>-196.42</v>
      </c>
      <c r="F30" s="46">
        <v>94.76</v>
      </c>
      <c r="H30" s="46">
        <v>-302.11</v>
      </c>
      <c r="I30" s="46">
        <v>94.87</v>
      </c>
    </row>
    <row r="31" spans="2:57">
      <c r="B31" s="46">
        <v>-220.46</v>
      </c>
      <c r="C31" s="46">
        <v>94.29</v>
      </c>
      <c r="E31" s="46">
        <v>-195.96</v>
      </c>
      <c r="F31" s="46">
        <v>94.26</v>
      </c>
      <c r="H31" s="46">
        <v>-299.7</v>
      </c>
      <c r="I31" s="46">
        <v>94.37</v>
      </c>
      <c r="BE31" s="61"/>
    </row>
    <row r="32" spans="2:57">
      <c r="B32" s="46">
        <v>-217.91</v>
      </c>
      <c r="C32" s="46">
        <v>93.79</v>
      </c>
      <c r="E32" s="46">
        <v>-195.4</v>
      </c>
      <c r="F32" s="46">
        <v>93.76</v>
      </c>
      <c r="H32" s="46">
        <v>-297.08999999999997</v>
      </c>
      <c r="I32" s="46">
        <v>93.87</v>
      </c>
    </row>
    <row r="33" spans="2:9">
      <c r="B33" s="46">
        <v>-215.02</v>
      </c>
      <c r="C33" s="46">
        <v>93.29</v>
      </c>
      <c r="E33" s="46">
        <v>-195.23</v>
      </c>
      <c r="F33" s="46">
        <v>93.26</v>
      </c>
      <c r="H33" s="46">
        <v>-293.79000000000002</v>
      </c>
      <c r="I33" s="46">
        <v>93.37</v>
      </c>
    </row>
    <row r="34" spans="2:9">
      <c r="B34" s="46">
        <v>-211.9</v>
      </c>
      <c r="C34" s="46">
        <v>92.79</v>
      </c>
      <c r="E34" s="46">
        <v>-195</v>
      </c>
      <c r="F34" s="46">
        <v>92.76</v>
      </c>
      <c r="H34" s="46">
        <v>-290.54000000000002</v>
      </c>
      <c r="I34" s="46">
        <v>92.87</v>
      </c>
    </row>
    <row r="35" spans="2:9">
      <c r="B35" s="46">
        <v>-208.52</v>
      </c>
      <c r="C35" s="46">
        <v>92.29</v>
      </c>
      <c r="E35" s="46">
        <v>-194.31</v>
      </c>
      <c r="F35" s="46">
        <v>92.26</v>
      </c>
      <c r="H35" s="46">
        <v>-286.95999999999998</v>
      </c>
      <c r="I35" s="46">
        <v>92.37</v>
      </c>
    </row>
    <row r="36" spans="2:9">
      <c r="B36" s="46">
        <v>-204.97</v>
      </c>
      <c r="C36" s="46">
        <v>91.79</v>
      </c>
      <c r="E36" s="46">
        <v>-193.32</v>
      </c>
      <c r="F36" s="46">
        <v>91.76</v>
      </c>
      <c r="H36" s="46">
        <v>-283.14999999999998</v>
      </c>
      <c r="I36" s="46">
        <v>91.87</v>
      </c>
    </row>
    <row r="37" spans="2:9">
      <c r="B37" s="46">
        <v>-201.15</v>
      </c>
      <c r="C37" s="46">
        <v>91.29</v>
      </c>
      <c r="E37" s="46">
        <v>-193.01</v>
      </c>
      <c r="F37" s="46">
        <v>91.26</v>
      </c>
      <c r="H37" s="46">
        <v>-279.45999999999998</v>
      </c>
      <c r="I37" s="46">
        <v>91.37</v>
      </c>
    </row>
    <row r="38" spans="2:9">
      <c r="B38" s="46">
        <v>-196.86</v>
      </c>
      <c r="C38" s="46">
        <v>90.79</v>
      </c>
      <c r="E38" s="46">
        <v>-192.52</v>
      </c>
      <c r="F38" s="46">
        <v>90.76</v>
      </c>
      <c r="H38" s="46">
        <v>-275.49</v>
      </c>
      <c r="I38" s="46">
        <v>90.87</v>
      </c>
    </row>
    <row r="39" spans="2:9">
      <c r="B39" s="46">
        <v>-192.99</v>
      </c>
      <c r="C39" s="46">
        <v>90.29</v>
      </c>
      <c r="E39" s="46">
        <v>-191.68</v>
      </c>
      <c r="F39" s="46">
        <v>90.26</v>
      </c>
      <c r="H39" s="46">
        <v>-270.66000000000003</v>
      </c>
      <c r="I39" s="46">
        <v>90.37</v>
      </c>
    </row>
    <row r="40" spans="2:9">
      <c r="B40" s="46">
        <v>-188.81</v>
      </c>
      <c r="C40" s="46">
        <v>89.79</v>
      </c>
      <c r="E40" s="46">
        <v>-190.72</v>
      </c>
      <c r="F40" s="46">
        <v>89.76</v>
      </c>
      <c r="H40" s="46">
        <v>-265.87</v>
      </c>
      <c r="I40" s="46">
        <v>89.87</v>
      </c>
    </row>
    <row r="41" spans="2:9">
      <c r="B41" s="46">
        <v>-183.91</v>
      </c>
      <c r="C41" s="46">
        <v>89.29</v>
      </c>
      <c r="E41" s="46">
        <v>-189.49</v>
      </c>
      <c r="F41" s="46">
        <v>89.26</v>
      </c>
      <c r="H41" s="46">
        <v>-261.39999999999998</v>
      </c>
      <c r="I41" s="46">
        <v>89.37</v>
      </c>
    </row>
    <row r="42" spans="2:9">
      <c r="B42" s="46">
        <v>-178.85</v>
      </c>
      <c r="C42" s="46">
        <v>88.79</v>
      </c>
      <c r="E42" s="46">
        <v>-188.33</v>
      </c>
      <c r="F42" s="46">
        <v>88.76</v>
      </c>
      <c r="H42" s="46">
        <v>-256.01</v>
      </c>
      <c r="I42" s="46">
        <v>88.87</v>
      </c>
    </row>
    <row r="43" spans="2:9">
      <c r="B43" s="46">
        <v>-173.59</v>
      </c>
      <c r="C43" s="46">
        <v>88.29</v>
      </c>
      <c r="E43" s="46">
        <v>-187.31</v>
      </c>
      <c r="F43" s="46">
        <v>88.26</v>
      </c>
      <c r="H43" s="46">
        <v>-250.51</v>
      </c>
      <c r="I43" s="46">
        <v>88.37</v>
      </c>
    </row>
    <row r="44" spans="2:9">
      <c r="B44" s="46">
        <v>-168.4</v>
      </c>
      <c r="C44" s="46">
        <v>87.79</v>
      </c>
      <c r="E44" s="46">
        <v>-186.17</v>
      </c>
      <c r="F44" s="46">
        <v>87.76</v>
      </c>
      <c r="H44" s="46">
        <v>-245.14</v>
      </c>
      <c r="I44" s="46">
        <v>87.87</v>
      </c>
    </row>
    <row r="45" spans="2:9">
      <c r="B45" s="46">
        <v>-163.24</v>
      </c>
      <c r="C45" s="46">
        <v>87.29</v>
      </c>
      <c r="E45" s="46">
        <v>-184.61</v>
      </c>
      <c r="F45" s="46">
        <v>87.26</v>
      </c>
      <c r="H45" s="46">
        <v>-239.53</v>
      </c>
      <c r="I45" s="46">
        <v>87.37</v>
      </c>
    </row>
    <row r="46" spans="2:9">
      <c r="B46" s="46">
        <v>-158.07</v>
      </c>
      <c r="C46" s="46">
        <v>86.79</v>
      </c>
      <c r="E46" s="46">
        <v>-183.22</v>
      </c>
      <c r="F46" s="46">
        <v>86.76</v>
      </c>
      <c r="H46" s="46">
        <v>-233.97</v>
      </c>
      <c r="I46" s="46">
        <v>86.87</v>
      </c>
    </row>
    <row r="47" spans="2:9">
      <c r="B47" s="46">
        <v>-152.65</v>
      </c>
      <c r="C47" s="46">
        <v>86.29</v>
      </c>
      <c r="E47" s="46">
        <v>-181.87</v>
      </c>
      <c r="F47" s="46">
        <v>86.26</v>
      </c>
      <c r="H47" s="46">
        <v>-227.97</v>
      </c>
      <c r="I47" s="46">
        <v>86.37</v>
      </c>
    </row>
    <row r="48" spans="2:9">
      <c r="B48" s="46">
        <v>-146.87</v>
      </c>
      <c r="C48" s="46">
        <v>85.79</v>
      </c>
      <c r="E48" s="46">
        <v>-179.75</v>
      </c>
      <c r="F48" s="46">
        <v>85.76</v>
      </c>
      <c r="H48" s="46">
        <v>-221.55</v>
      </c>
      <c r="I48" s="46">
        <v>85.87</v>
      </c>
    </row>
    <row r="49" spans="2:9">
      <c r="B49" s="46">
        <v>-141.07</v>
      </c>
      <c r="C49" s="46">
        <v>85.29</v>
      </c>
      <c r="E49" s="46">
        <v>-177.5</v>
      </c>
      <c r="F49" s="46">
        <v>85.26</v>
      </c>
      <c r="H49" s="46">
        <v>-215.44</v>
      </c>
      <c r="I49" s="46">
        <v>85.37</v>
      </c>
    </row>
    <row r="50" spans="2:9">
      <c r="B50" s="46">
        <v>-135.07</v>
      </c>
      <c r="C50" s="46">
        <v>84.79</v>
      </c>
      <c r="E50" s="46">
        <v>-175.3</v>
      </c>
      <c r="F50" s="46">
        <v>84.76</v>
      </c>
      <c r="H50" s="46">
        <v>-209.61</v>
      </c>
      <c r="I50" s="46">
        <v>84.87</v>
      </c>
    </row>
    <row r="51" spans="2:9">
      <c r="B51" s="46">
        <v>-129.04</v>
      </c>
      <c r="C51" s="46">
        <v>84.29</v>
      </c>
      <c r="E51" s="46">
        <v>-173</v>
      </c>
      <c r="F51" s="46">
        <v>84.26</v>
      </c>
      <c r="H51" s="46">
        <v>-203.41</v>
      </c>
      <c r="I51" s="46">
        <v>84.37</v>
      </c>
    </row>
    <row r="52" spans="2:9">
      <c r="B52" s="46">
        <v>-122.66</v>
      </c>
      <c r="C52" s="46">
        <v>83.79</v>
      </c>
      <c r="E52" s="46">
        <v>-170.8</v>
      </c>
      <c r="F52" s="46">
        <v>83.76</v>
      </c>
      <c r="H52" s="46">
        <v>-197.18</v>
      </c>
      <c r="I52" s="46">
        <v>83.87</v>
      </c>
    </row>
    <row r="53" spans="2:9">
      <c r="B53" s="46">
        <v>-116.45</v>
      </c>
      <c r="C53" s="46">
        <v>83.29</v>
      </c>
      <c r="E53" s="46">
        <v>-168.51</v>
      </c>
      <c r="F53" s="46">
        <v>83.26</v>
      </c>
      <c r="H53" s="46">
        <v>-191.03</v>
      </c>
      <c r="I53" s="46">
        <v>83.37</v>
      </c>
    </row>
    <row r="54" spans="2:9">
      <c r="B54" s="46">
        <v>-110.14</v>
      </c>
      <c r="C54" s="46">
        <v>82.79</v>
      </c>
      <c r="E54" s="46">
        <v>-165.55</v>
      </c>
      <c r="F54" s="46">
        <v>82.76</v>
      </c>
      <c r="H54" s="46">
        <v>-184.74</v>
      </c>
      <c r="I54" s="46">
        <v>82.87</v>
      </c>
    </row>
    <row r="55" spans="2:9">
      <c r="B55" s="46">
        <v>-104.11</v>
      </c>
      <c r="C55" s="46">
        <v>82.29</v>
      </c>
      <c r="E55" s="46">
        <v>-162.38</v>
      </c>
      <c r="F55" s="46">
        <v>82.26</v>
      </c>
      <c r="H55" s="46">
        <v>-178.21</v>
      </c>
      <c r="I55" s="46">
        <v>82.37</v>
      </c>
    </row>
    <row r="56" spans="2:9">
      <c r="B56" s="46">
        <v>-98.46</v>
      </c>
      <c r="C56" s="46">
        <v>81.790000000000006</v>
      </c>
      <c r="E56" s="46">
        <v>-159.41999999999999</v>
      </c>
      <c r="F56" s="46">
        <v>81.760000000000005</v>
      </c>
      <c r="H56" s="46">
        <v>-171.92</v>
      </c>
      <c r="I56" s="46">
        <v>81.87</v>
      </c>
    </row>
    <row r="57" spans="2:9">
      <c r="B57" s="46">
        <v>-92.35</v>
      </c>
      <c r="C57" s="46">
        <v>81.290000000000006</v>
      </c>
      <c r="E57" s="46">
        <v>-156.56</v>
      </c>
      <c r="F57" s="46">
        <v>81.260000000000005</v>
      </c>
      <c r="H57" s="46">
        <v>-165.76</v>
      </c>
      <c r="I57" s="46">
        <v>81.37</v>
      </c>
    </row>
    <row r="58" spans="2:9">
      <c r="B58" s="46">
        <v>-86.25</v>
      </c>
      <c r="C58" s="46">
        <v>80.790000000000006</v>
      </c>
      <c r="E58" s="46">
        <v>-153.57</v>
      </c>
      <c r="F58" s="46">
        <v>80.760000000000005</v>
      </c>
      <c r="H58" s="46">
        <v>-159.46</v>
      </c>
      <c r="I58" s="46">
        <v>80.87</v>
      </c>
    </row>
    <row r="59" spans="2:9">
      <c r="B59" s="46">
        <v>-80.38</v>
      </c>
      <c r="C59" s="46">
        <v>80.290000000000006</v>
      </c>
      <c r="E59" s="46">
        <v>-150.84</v>
      </c>
      <c r="F59" s="46">
        <v>80.260000000000005</v>
      </c>
      <c r="H59" s="46">
        <v>-153.02000000000001</v>
      </c>
      <c r="I59" s="46">
        <v>80.37</v>
      </c>
    </row>
    <row r="60" spans="2:9">
      <c r="B60" s="46">
        <v>-74.67</v>
      </c>
      <c r="C60" s="46">
        <v>79.790000000000006</v>
      </c>
      <c r="E60" s="46">
        <v>-148.25</v>
      </c>
      <c r="F60" s="46">
        <v>79.760000000000005</v>
      </c>
      <c r="H60" s="46">
        <v>-146.43</v>
      </c>
      <c r="I60" s="46">
        <v>79.87</v>
      </c>
    </row>
    <row r="61" spans="2:9">
      <c r="B61" s="46">
        <v>-69.28</v>
      </c>
      <c r="C61" s="46">
        <v>79.290000000000006</v>
      </c>
      <c r="E61" s="46">
        <v>-144.93</v>
      </c>
      <c r="F61" s="46">
        <v>79.260000000000005</v>
      </c>
      <c r="H61" s="46">
        <v>-139.80000000000001</v>
      </c>
      <c r="I61" s="46">
        <v>79.37</v>
      </c>
    </row>
    <row r="62" spans="2:9">
      <c r="B62" s="46">
        <v>-63.73</v>
      </c>
      <c r="C62" s="46">
        <v>78.790000000000006</v>
      </c>
      <c r="E62" s="46">
        <v>-141.63999999999999</v>
      </c>
      <c r="F62" s="46">
        <v>78.760000000000005</v>
      </c>
      <c r="H62" s="46">
        <v>-133.12</v>
      </c>
      <c r="I62" s="46">
        <v>78.87</v>
      </c>
    </row>
    <row r="63" spans="2:9">
      <c r="B63" s="46">
        <v>-58.89</v>
      </c>
      <c r="C63" s="46">
        <v>78.290000000000006</v>
      </c>
      <c r="E63" s="46">
        <v>-138.63999999999999</v>
      </c>
      <c r="F63" s="46">
        <v>78.260000000000005</v>
      </c>
      <c r="H63" s="46">
        <v>-126.3</v>
      </c>
      <c r="I63" s="46">
        <v>78.37</v>
      </c>
    </row>
    <row r="64" spans="2:9">
      <c r="B64" s="46">
        <v>-53.6</v>
      </c>
      <c r="C64" s="46">
        <v>77.790000000000006</v>
      </c>
      <c r="E64" s="46">
        <v>-135.02000000000001</v>
      </c>
      <c r="F64" s="46">
        <v>77.760000000000005</v>
      </c>
      <c r="H64" s="46">
        <v>-119.73</v>
      </c>
      <c r="I64" s="46">
        <v>77.87</v>
      </c>
    </row>
    <row r="65" spans="2:9">
      <c r="B65" s="46">
        <v>-48.51</v>
      </c>
      <c r="C65" s="46">
        <v>77.290000000000006</v>
      </c>
      <c r="E65" s="46">
        <v>-131.16</v>
      </c>
      <c r="F65" s="46">
        <v>77.260000000000005</v>
      </c>
      <c r="H65" s="46">
        <v>-113.12</v>
      </c>
      <c r="I65" s="46">
        <v>77.37</v>
      </c>
    </row>
    <row r="66" spans="2:9">
      <c r="B66" s="46">
        <v>-44.03</v>
      </c>
      <c r="C66" s="46">
        <v>76.790000000000006</v>
      </c>
      <c r="E66" s="46">
        <v>-127.6</v>
      </c>
      <c r="F66" s="46">
        <v>76.760000000000005</v>
      </c>
      <c r="H66" s="46">
        <v>-106.62</v>
      </c>
      <c r="I66" s="46">
        <v>76.87</v>
      </c>
    </row>
    <row r="67" spans="2:9">
      <c r="B67" s="46">
        <v>-39.86</v>
      </c>
      <c r="C67" s="46">
        <v>76.290000000000006</v>
      </c>
      <c r="E67" s="46">
        <v>-124.21</v>
      </c>
      <c r="F67" s="46">
        <v>76.260000000000005</v>
      </c>
      <c r="H67" s="46">
        <v>-99.87</v>
      </c>
      <c r="I67" s="46">
        <v>76.37</v>
      </c>
    </row>
    <row r="68" spans="2:9">
      <c r="B68" s="46">
        <v>-35.97</v>
      </c>
      <c r="C68" s="46">
        <v>75.790000000000006</v>
      </c>
      <c r="E68" s="46">
        <v>-120.73</v>
      </c>
      <c r="F68" s="46">
        <v>75.760000000000005</v>
      </c>
      <c r="H68" s="46">
        <v>-93.53</v>
      </c>
      <c r="I68" s="46">
        <v>75.87</v>
      </c>
    </row>
    <row r="69" spans="2:9">
      <c r="B69" s="46">
        <v>-32.549999999999997</v>
      </c>
      <c r="C69" s="46">
        <v>75.290000000000006</v>
      </c>
      <c r="E69" s="46">
        <v>-116.99</v>
      </c>
      <c r="F69" s="46">
        <v>75.260000000000005</v>
      </c>
      <c r="H69" s="46">
        <v>-87.41</v>
      </c>
      <c r="I69" s="46">
        <v>75.37</v>
      </c>
    </row>
    <row r="70" spans="2:9">
      <c r="B70" s="46">
        <v>-29.07</v>
      </c>
      <c r="C70" s="46">
        <v>74.790000000000006</v>
      </c>
      <c r="E70" s="46">
        <v>-113.68</v>
      </c>
      <c r="F70" s="46">
        <v>74.760000000000005</v>
      </c>
      <c r="H70" s="46">
        <v>-81.16</v>
      </c>
      <c r="I70" s="46">
        <v>74.87</v>
      </c>
    </row>
    <row r="71" spans="2:9">
      <c r="B71" s="46">
        <v>-26.15</v>
      </c>
      <c r="C71" s="46">
        <v>74.290000000000006</v>
      </c>
      <c r="E71" s="46">
        <v>-110.37</v>
      </c>
      <c r="F71" s="46">
        <v>74.260000000000005</v>
      </c>
      <c r="H71" s="46">
        <v>-75.260000000000005</v>
      </c>
      <c r="I71" s="46">
        <v>74.37</v>
      </c>
    </row>
    <row r="72" spans="2:9">
      <c r="B72" s="46">
        <v>-23.29</v>
      </c>
      <c r="C72" s="46">
        <v>73.790000000000006</v>
      </c>
      <c r="E72" s="46">
        <v>-106.31</v>
      </c>
      <c r="F72" s="46">
        <v>73.760000000000005</v>
      </c>
      <c r="H72" s="46">
        <v>-69.41</v>
      </c>
      <c r="I72" s="46">
        <v>73.87</v>
      </c>
    </row>
    <row r="73" spans="2:9">
      <c r="B73" s="46">
        <v>-20.65</v>
      </c>
      <c r="C73" s="46">
        <v>73.290000000000006</v>
      </c>
      <c r="E73" s="46">
        <v>-101.98</v>
      </c>
      <c r="F73" s="46">
        <v>73.260000000000005</v>
      </c>
      <c r="H73" s="46">
        <v>-62.97</v>
      </c>
      <c r="I73" s="46">
        <v>73.37</v>
      </c>
    </row>
    <row r="74" spans="2:9">
      <c r="B74" s="46">
        <v>-18.11</v>
      </c>
      <c r="C74" s="46">
        <v>72.790000000000006</v>
      </c>
      <c r="E74" s="46">
        <v>-98.06</v>
      </c>
      <c r="F74" s="46">
        <v>72.760000000000005</v>
      </c>
      <c r="H74" s="46">
        <v>-57.44</v>
      </c>
      <c r="I74" s="46">
        <v>72.87</v>
      </c>
    </row>
    <row r="75" spans="2:9">
      <c r="B75" s="46">
        <v>-15.74</v>
      </c>
      <c r="C75" s="46">
        <v>72.290000000000006</v>
      </c>
      <c r="E75" s="46">
        <v>-94.46</v>
      </c>
      <c r="F75" s="46">
        <v>72.260000000000005</v>
      </c>
      <c r="H75" s="46">
        <v>-52.05</v>
      </c>
      <c r="I75" s="46">
        <v>72.37</v>
      </c>
    </row>
    <row r="76" spans="2:9">
      <c r="B76" s="46">
        <v>-13.46</v>
      </c>
      <c r="C76" s="46">
        <v>71.790000000000006</v>
      </c>
      <c r="E76" s="46">
        <v>-91</v>
      </c>
      <c r="F76" s="46">
        <v>71.760000000000005</v>
      </c>
      <c r="H76" s="46">
        <v>-46.73</v>
      </c>
      <c r="I76" s="46">
        <v>71.87</v>
      </c>
    </row>
    <row r="77" spans="2:9">
      <c r="B77" s="46">
        <v>-11.62</v>
      </c>
      <c r="C77" s="46">
        <v>71.290000000000006</v>
      </c>
      <c r="E77" s="46">
        <v>-87.47</v>
      </c>
      <c r="F77" s="46">
        <v>71.260000000000005</v>
      </c>
      <c r="H77" s="46">
        <v>-41.24</v>
      </c>
      <c r="I77" s="46">
        <v>71.37</v>
      </c>
    </row>
    <row r="78" spans="2:9">
      <c r="B78" s="46">
        <v>-10.07</v>
      </c>
      <c r="C78" s="46">
        <v>70.790000000000006</v>
      </c>
      <c r="E78" s="46">
        <v>-83.42</v>
      </c>
      <c r="F78" s="46">
        <v>70.760000000000005</v>
      </c>
      <c r="H78" s="46">
        <v>-35.840000000000003</v>
      </c>
      <c r="I78" s="46">
        <v>70.87</v>
      </c>
    </row>
    <row r="79" spans="2:9">
      <c r="B79" s="46">
        <v>-8.74</v>
      </c>
      <c r="C79" s="46">
        <v>70.290000000000006</v>
      </c>
      <c r="E79" s="46">
        <v>-79.16</v>
      </c>
      <c r="F79" s="46">
        <v>70.260000000000005</v>
      </c>
      <c r="H79" s="46">
        <v>-31.24</v>
      </c>
      <c r="I79" s="46">
        <v>70.37</v>
      </c>
    </row>
    <row r="80" spans="2:9">
      <c r="B80" s="46">
        <v>-7.07</v>
      </c>
      <c r="C80" s="46">
        <v>69.790000000000006</v>
      </c>
      <c r="E80" s="46">
        <v>-74.58</v>
      </c>
      <c r="F80" s="46">
        <v>69.760000000000005</v>
      </c>
      <c r="H80" s="46">
        <v>-27.11</v>
      </c>
      <c r="I80" s="46">
        <v>69.87</v>
      </c>
    </row>
    <row r="81" spans="2:9">
      <c r="B81" s="46">
        <v>-5.75</v>
      </c>
      <c r="C81" s="46">
        <v>69.290000000000006</v>
      </c>
      <c r="E81" s="46">
        <v>-69.92</v>
      </c>
      <c r="F81" s="46">
        <v>69.260000000000005</v>
      </c>
      <c r="H81" s="46">
        <v>-23.13</v>
      </c>
      <c r="I81" s="46">
        <v>69.37</v>
      </c>
    </row>
    <row r="82" spans="2:9">
      <c r="B82" s="46">
        <v>-4.6900000000000004</v>
      </c>
      <c r="C82" s="46">
        <v>68.790000000000006</v>
      </c>
      <c r="E82" s="46">
        <v>-65.55</v>
      </c>
      <c r="F82" s="46">
        <v>68.760000000000005</v>
      </c>
      <c r="H82" s="46">
        <v>-18.79</v>
      </c>
      <c r="I82" s="46">
        <v>68.87</v>
      </c>
    </row>
    <row r="83" spans="2:9">
      <c r="B83" s="46">
        <v>-3.26</v>
      </c>
      <c r="C83" s="46">
        <v>68.290000000000006</v>
      </c>
      <c r="E83" s="46">
        <v>-61.36</v>
      </c>
      <c r="F83" s="46">
        <v>68.260000000000005</v>
      </c>
      <c r="H83" s="46">
        <v>-14.62</v>
      </c>
      <c r="I83" s="46">
        <v>68.37</v>
      </c>
    </row>
    <row r="84" spans="2:9">
      <c r="B84" s="46">
        <v>-2.42</v>
      </c>
      <c r="C84" s="46">
        <v>67.790000000000006</v>
      </c>
      <c r="E84" s="46">
        <v>-56.41</v>
      </c>
      <c r="F84" s="46">
        <v>67.760000000000005</v>
      </c>
      <c r="H84" s="46">
        <v>-10.62</v>
      </c>
      <c r="I84" s="46">
        <v>67.87</v>
      </c>
    </row>
    <row r="85" spans="2:9">
      <c r="B85" s="46">
        <v>-1.82</v>
      </c>
      <c r="C85" s="46">
        <v>67.290000000000006</v>
      </c>
      <c r="E85" s="46">
        <v>-52.01</v>
      </c>
      <c r="F85" s="46">
        <v>67.260000000000005</v>
      </c>
      <c r="H85" s="46">
        <v>-7.06</v>
      </c>
      <c r="I85" s="46">
        <v>67.37</v>
      </c>
    </row>
    <row r="86" spans="2:9">
      <c r="B86" s="46">
        <v>-0.95</v>
      </c>
      <c r="C86" s="46">
        <v>66.790000000000006</v>
      </c>
      <c r="E86" s="46">
        <v>-47.47</v>
      </c>
      <c r="F86" s="46">
        <v>66.760000000000005</v>
      </c>
      <c r="H86" s="46">
        <v>-3.58</v>
      </c>
      <c r="I86" s="46">
        <v>66.87</v>
      </c>
    </row>
    <row r="87" spans="2:9">
      <c r="B87" s="46">
        <v>-0.32</v>
      </c>
      <c r="C87" s="46">
        <v>66.290000000000006</v>
      </c>
      <c r="E87" s="46">
        <v>-42.77</v>
      </c>
      <c r="F87" s="46">
        <v>66.260000000000005</v>
      </c>
      <c r="H87" s="46">
        <v>-0.18</v>
      </c>
      <c r="I87" s="46">
        <v>66.37</v>
      </c>
    </row>
    <row r="88" spans="2:9">
      <c r="B88" s="46">
        <v>0.24</v>
      </c>
      <c r="C88" s="46">
        <v>65.790000000000006</v>
      </c>
      <c r="E88" s="46">
        <v>-37.65</v>
      </c>
      <c r="F88" s="46">
        <v>65.760000000000005</v>
      </c>
      <c r="H88" s="46">
        <v>2.21</v>
      </c>
      <c r="I88" s="46">
        <v>65.87</v>
      </c>
    </row>
    <row r="89" spans="2:9">
      <c r="B89" s="46">
        <v>0.87</v>
      </c>
      <c r="C89" s="46">
        <v>65.290000000000006</v>
      </c>
      <c r="E89" s="46">
        <v>-33.25</v>
      </c>
      <c r="F89" s="46">
        <v>65.260000000000005</v>
      </c>
      <c r="H89" s="46">
        <v>5.03</v>
      </c>
      <c r="I89" s="46">
        <v>65.37</v>
      </c>
    </row>
    <row r="90" spans="2:9">
      <c r="B90" s="46">
        <v>1.1399999999999999</v>
      </c>
      <c r="C90" s="46">
        <v>64.790000000000006</v>
      </c>
      <c r="E90" s="46">
        <v>-28.69</v>
      </c>
      <c r="F90" s="46">
        <v>64.760000000000005</v>
      </c>
      <c r="H90" s="46">
        <v>7.87</v>
      </c>
      <c r="I90" s="46">
        <v>64.87</v>
      </c>
    </row>
    <row r="91" spans="2:9">
      <c r="B91" s="46">
        <v>1.27</v>
      </c>
      <c r="C91" s="46">
        <v>64.290000000000006</v>
      </c>
      <c r="E91" s="46">
        <v>-24.1</v>
      </c>
      <c r="F91" s="46">
        <v>64.260000000000005</v>
      </c>
      <c r="H91" s="46">
        <v>9.92</v>
      </c>
      <c r="I91" s="46">
        <v>64.37</v>
      </c>
    </row>
    <row r="92" spans="2:9">
      <c r="B92" s="46">
        <v>1.65</v>
      </c>
      <c r="C92" s="46">
        <v>63.79</v>
      </c>
      <c r="E92" s="46">
        <v>-19.78</v>
      </c>
      <c r="F92" s="46">
        <v>63.76</v>
      </c>
      <c r="H92" s="46">
        <v>11.46</v>
      </c>
      <c r="I92" s="46">
        <v>63.87</v>
      </c>
    </row>
    <row r="93" spans="2:9">
      <c r="B93" s="46">
        <v>1.81</v>
      </c>
      <c r="C93" s="46">
        <v>63.29</v>
      </c>
      <c r="E93" s="46">
        <v>-15.56</v>
      </c>
      <c r="F93" s="46">
        <v>63.26</v>
      </c>
      <c r="H93" s="46">
        <v>13.12</v>
      </c>
      <c r="I93" s="46">
        <v>63.37</v>
      </c>
    </row>
    <row r="94" spans="2:9">
      <c r="B94" s="46">
        <v>2.12</v>
      </c>
      <c r="C94" s="46">
        <v>62.79</v>
      </c>
      <c r="E94" s="46">
        <v>-11.92</v>
      </c>
      <c r="F94" s="46">
        <v>62.76</v>
      </c>
      <c r="H94" s="46">
        <v>14.85</v>
      </c>
      <c r="I94" s="46">
        <v>62.87</v>
      </c>
    </row>
    <row r="95" spans="2:9">
      <c r="B95" s="46">
        <v>2.4</v>
      </c>
      <c r="C95" s="46">
        <v>62.29</v>
      </c>
      <c r="E95" s="46">
        <v>-8.31</v>
      </c>
      <c r="F95" s="46">
        <v>62.26</v>
      </c>
      <c r="H95" s="46">
        <v>15.8</v>
      </c>
      <c r="I95" s="46">
        <v>62.37</v>
      </c>
    </row>
    <row r="96" spans="2:9">
      <c r="B96" s="46">
        <v>2.48</v>
      </c>
      <c r="C96" s="46">
        <v>61.79</v>
      </c>
      <c r="E96" s="46">
        <v>-4.45</v>
      </c>
      <c r="F96" s="46">
        <v>61.76</v>
      </c>
      <c r="H96" s="46">
        <v>16.57</v>
      </c>
      <c r="I96" s="46">
        <v>61.87</v>
      </c>
    </row>
    <row r="97" spans="2:9">
      <c r="B97" s="46">
        <v>2.85</v>
      </c>
      <c r="C97" s="46">
        <v>61.29</v>
      </c>
      <c r="E97" s="46">
        <v>-0.85</v>
      </c>
      <c r="F97" s="46">
        <v>61.26</v>
      </c>
      <c r="H97" s="46">
        <v>16.93</v>
      </c>
      <c r="I97" s="46">
        <v>61.37</v>
      </c>
    </row>
    <row r="98" spans="2:9">
      <c r="B98" s="46">
        <v>2.87</v>
      </c>
      <c r="C98" s="46">
        <v>60.79</v>
      </c>
      <c r="E98" s="46">
        <v>2.4300000000000002</v>
      </c>
      <c r="F98" s="46">
        <v>60.76</v>
      </c>
      <c r="H98" s="46">
        <v>17.239999999999998</v>
      </c>
      <c r="I98" s="46">
        <v>60.87</v>
      </c>
    </row>
    <row r="99" spans="2:9">
      <c r="B99" s="46">
        <v>3.09</v>
      </c>
      <c r="C99" s="46">
        <v>60.29</v>
      </c>
      <c r="E99" s="46">
        <v>5.78</v>
      </c>
      <c r="F99" s="46">
        <v>60.26</v>
      </c>
      <c r="H99" s="46">
        <v>17.53</v>
      </c>
      <c r="I99" s="46">
        <v>60.37</v>
      </c>
    </row>
    <row r="100" spans="2:9">
      <c r="B100" s="46">
        <v>3.36</v>
      </c>
      <c r="C100" s="46">
        <v>59.79</v>
      </c>
      <c r="E100" s="46">
        <v>9.1199999999999992</v>
      </c>
      <c r="F100" s="46">
        <v>59.76</v>
      </c>
      <c r="H100" s="46">
        <v>17.91</v>
      </c>
      <c r="I100" s="46">
        <v>59.87</v>
      </c>
    </row>
    <row r="101" spans="2:9">
      <c r="B101" s="62">
        <v>1.66</v>
      </c>
      <c r="C101" s="62">
        <v>59.29</v>
      </c>
      <c r="D101" s="62"/>
      <c r="E101" s="46">
        <v>11.81</v>
      </c>
      <c r="F101" s="46">
        <v>59.26</v>
      </c>
      <c r="H101" s="46">
        <v>18.260000000000002</v>
      </c>
      <c r="I101" s="46">
        <v>59.37</v>
      </c>
    </row>
    <row r="102" spans="2:9">
      <c r="B102" s="46">
        <v>-0.04</v>
      </c>
      <c r="C102" s="46">
        <v>58.79</v>
      </c>
      <c r="E102" s="62">
        <v>12.34</v>
      </c>
      <c r="F102" s="62">
        <v>58.76</v>
      </c>
      <c r="G102" s="62"/>
      <c r="H102" s="46">
        <v>18.829999999999998</v>
      </c>
      <c r="I102" s="46">
        <v>58.87</v>
      </c>
    </row>
    <row r="103" spans="2:9">
      <c r="B103" s="46">
        <v>0.31</v>
      </c>
      <c r="C103" s="46">
        <v>58.29</v>
      </c>
      <c r="E103" s="46">
        <v>11.34</v>
      </c>
      <c r="F103" s="46">
        <v>58.26</v>
      </c>
      <c r="H103" s="46">
        <v>19.03</v>
      </c>
      <c r="I103" s="46">
        <v>58.37</v>
      </c>
    </row>
    <row r="104" spans="2:9">
      <c r="B104" s="46">
        <v>0.66</v>
      </c>
      <c r="C104" s="46">
        <v>57.79</v>
      </c>
      <c r="E104" s="46">
        <v>9.9</v>
      </c>
      <c r="F104" s="46">
        <v>57.76</v>
      </c>
      <c r="H104" s="46">
        <v>19.010000000000002</v>
      </c>
      <c r="I104" s="46">
        <v>57.87</v>
      </c>
    </row>
    <row r="105" spans="2:9">
      <c r="B105" s="46">
        <v>0.36</v>
      </c>
      <c r="C105" s="46">
        <v>57.29</v>
      </c>
      <c r="E105" s="46">
        <v>8.74</v>
      </c>
      <c r="F105" s="46">
        <v>57.26</v>
      </c>
      <c r="H105" s="46">
        <v>19.34</v>
      </c>
      <c r="I105" s="46">
        <v>57.37</v>
      </c>
    </row>
    <row r="106" spans="2:9">
      <c r="B106" s="46">
        <v>0.18</v>
      </c>
      <c r="C106" s="46">
        <v>56.79</v>
      </c>
      <c r="E106" s="46">
        <v>7.69</v>
      </c>
      <c r="F106" s="46">
        <v>56.76</v>
      </c>
      <c r="H106" s="46">
        <v>19.829999999999998</v>
      </c>
      <c r="I106" s="46">
        <v>56.87</v>
      </c>
    </row>
    <row r="107" spans="2:9">
      <c r="B107" s="46">
        <v>0.2</v>
      </c>
      <c r="C107" s="46">
        <v>56.29</v>
      </c>
      <c r="E107" s="46">
        <v>6.64</v>
      </c>
      <c r="F107" s="46">
        <v>56.26</v>
      </c>
      <c r="H107" s="46">
        <v>19.010000000000002</v>
      </c>
      <c r="I107" s="46">
        <v>56.37</v>
      </c>
    </row>
    <row r="108" spans="2:9">
      <c r="B108" s="46">
        <v>0</v>
      </c>
      <c r="C108" s="46">
        <v>55.79</v>
      </c>
      <c r="E108" s="46">
        <v>5.44</v>
      </c>
      <c r="F108" s="46">
        <v>55.76</v>
      </c>
      <c r="H108" s="46">
        <v>18.75</v>
      </c>
      <c r="I108" s="46">
        <v>55.87</v>
      </c>
    </row>
    <row r="109" spans="2:9">
      <c r="E109" s="46">
        <v>4.55</v>
      </c>
      <c r="F109" s="46">
        <v>55.26</v>
      </c>
      <c r="H109" s="46">
        <v>18.170000000000002</v>
      </c>
      <c r="I109" s="46">
        <v>55.37</v>
      </c>
    </row>
    <row r="110" spans="2:9">
      <c r="E110" s="46">
        <v>3.53</v>
      </c>
      <c r="F110" s="46">
        <v>54.76</v>
      </c>
      <c r="H110" s="46">
        <v>15.16</v>
      </c>
      <c r="I110" s="46">
        <v>54.87</v>
      </c>
    </row>
    <row r="111" spans="2:9">
      <c r="E111" s="46">
        <v>2.2599999999999998</v>
      </c>
      <c r="F111" s="46">
        <v>54.26</v>
      </c>
      <c r="H111" s="46">
        <v>12.03</v>
      </c>
      <c r="I111" s="46">
        <v>54.37</v>
      </c>
    </row>
    <row r="112" spans="2:9">
      <c r="E112" s="46">
        <v>0</v>
      </c>
      <c r="F112" s="46">
        <v>53.76</v>
      </c>
      <c r="H112" s="46">
        <v>11.89</v>
      </c>
      <c r="I112" s="46">
        <v>53.87</v>
      </c>
    </row>
    <row r="113" spans="8:9">
      <c r="H113" s="46">
        <v>13.63</v>
      </c>
      <c r="I113" s="46">
        <v>53.37</v>
      </c>
    </row>
    <row r="114" spans="8:9">
      <c r="H114" s="46">
        <v>16.47</v>
      </c>
      <c r="I114" s="46">
        <v>52.87</v>
      </c>
    </row>
    <row r="115" spans="8:9">
      <c r="H115" s="46">
        <v>16.62</v>
      </c>
      <c r="I115" s="46">
        <v>52.37</v>
      </c>
    </row>
    <row r="116" spans="8:9">
      <c r="H116" s="62">
        <v>15.71</v>
      </c>
      <c r="I116" s="62">
        <v>51.87</v>
      </c>
    </row>
    <row r="117" spans="8:9">
      <c r="H117" s="46">
        <v>14.35</v>
      </c>
      <c r="I117" s="46">
        <v>51.37</v>
      </c>
    </row>
    <row r="118" spans="8:9">
      <c r="H118" s="46">
        <v>13</v>
      </c>
      <c r="I118" s="46">
        <v>50.87</v>
      </c>
    </row>
    <row r="119" spans="8:9">
      <c r="H119" s="46">
        <v>10.32</v>
      </c>
      <c r="I119" s="46">
        <v>50.37</v>
      </c>
    </row>
    <row r="120" spans="8:9">
      <c r="H120" s="46">
        <v>9.51</v>
      </c>
      <c r="I120" s="46">
        <v>49.87</v>
      </c>
    </row>
    <row r="121" spans="8:9">
      <c r="H121" s="46">
        <v>8.3000000000000007</v>
      </c>
      <c r="I121" s="46">
        <v>49.37</v>
      </c>
    </row>
    <row r="122" spans="8:9">
      <c r="H122" s="46">
        <v>7.39</v>
      </c>
      <c r="I122" s="46">
        <v>48.87</v>
      </c>
    </row>
    <row r="123" spans="8:9">
      <c r="H123" s="46">
        <v>6.07</v>
      </c>
      <c r="I123" s="46">
        <v>48.37</v>
      </c>
    </row>
    <row r="124" spans="8:9">
      <c r="H124" s="46">
        <v>4.87</v>
      </c>
      <c r="I124" s="46">
        <v>47.87</v>
      </c>
    </row>
    <row r="125" spans="8:9">
      <c r="H125" s="46">
        <v>3.66</v>
      </c>
      <c r="I125" s="46">
        <v>47.37</v>
      </c>
    </row>
    <row r="126" spans="8:9">
      <c r="H126" s="46">
        <v>2.4300000000000002</v>
      </c>
      <c r="I126" s="46">
        <v>46.87</v>
      </c>
    </row>
    <row r="127" spans="8:9">
      <c r="H127" s="46">
        <v>1.43</v>
      </c>
      <c r="I127" s="46">
        <v>46.37</v>
      </c>
    </row>
    <row r="128" spans="8:9">
      <c r="H128" s="46">
        <v>0</v>
      </c>
      <c r="I128" s="46">
        <v>45.87</v>
      </c>
    </row>
    <row r="134" spans="2:12">
      <c r="B134" s="63" t="s">
        <v>135</v>
      </c>
    </row>
    <row r="135" spans="2:12" ht="9" customHeight="1"/>
    <row r="136" spans="2:12">
      <c r="B136" s="46" t="s">
        <v>112</v>
      </c>
      <c r="E136" s="46" t="s">
        <v>49</v>
      </c>
      <c r="G136" s="3"/>
      <c r="H136" s="55" t="s">
        <v>50</v>
      </c>
      <c r="K136" s="55" t="s">
        <v>116</v>
      </c>
    </row>
    <row r="137" spans="2:12">
      <c r="B137" s="46" t="s">
        <v>125</v>
      </c>
      <c r="C137" s="46" t="s">
        <v>132</v>
      </c>
      <c r="E137" s="46" t="s">
        <v>125</v>
      </c>
      <c r="F137" s="46" t="s">
        <v>130</v>
      </c>
      <c r="G137" s="3"/>
      <c r="H137" s="46" t="s">
        <v>125</v>
      </c>
      <c r="I137" s="46" t="s">
        <v>131</v>
      </c>
      <c r="K137" s="46" t="s">
        <v>125</v>
      </c>
      <c r="L137" s="46" t="s">
        <v>133</v>
      </c>
    </row>
    <row r="138" spans="2:12">
      <c r="B138" s="46" t="s">
        <v>120</v>
      </c>
      <c r="C138" s="56">
        <v>41351</v>
      </c>
      <c r="E138" s="46" t="s">
        <v>120</v>
      </c>
      <c r="F138" s="64">
        <v>41287</v>
      </c>
      <c r="G138" s="3"/>
      <c r="H138" s="46" t="s">
        <v>120</v>
      </c>
      <c r="I138" s="56">
        <v>41168</v>
      </c>
      <c r="K138" s="46" t="s">
        <v>120</v>
      </c>
      <c r="L138" s="56">
        <v>41158</v>
      </c>
    </row>
    <row r="139" spans="2:12" ht="25.5">
      <c r="B139" s="57" t="s">
        <v>123</v>
      </c>
      <c r="C139" s="58">
        <v>49.91</v>
      </c>
      <c r="D139" s="58"/>
      <c r="E139" s="57" t="s">
        <v>123</v>
      </c>
      <c r="F139" s="58">
        <v>46.393000000000001</v>
      </c>
      <c r="G139" s="59"/>
      <c r="H139" s="57" t="s">
        <v>123</v>
      </c>
      <c r="I139" s="58">
        <v>46.435000000000002</v>
      </c>
      <c r="J139" s="59"/>
      <c r="K139" s="57" t="s">
        <v>123</v>
      </c>
      <c r="L139" s="58">
        <v>47.100999999999999</v>
      </c>
    </row>
    <row r="140" spans="2:12" ht="25.5">
      <c r="B140" s="57" t="s">
        <v>124</v>
      </c>
      <c r="C140" s="58">
        <f>C262</f>
        <v>43.81</v>
      </c>
      <c r="D140" s="58"/>
      <c r="E140" s="57" t="s">
        <v>124</v>
      </c>
      <c r="F140" s="58">
        <f>F267</f>
        <v>41.51</v>
      </c>
      <c r="G140" s="59"/>
      <c r="H140" s="57" t="s">
        <v>124</v>
      </c>
      <c r="I140" s="58">
        <f>I267</f>
        <v>41.5</v>
      </c>
      <c r="J140" s="59"/>
      <c r="K140" s="57" t="s">
        <v>124</v>
      </c>
      <c r="L140" s="58">
        <f>L249</f>
        <v>49.91</v>
      </c>
    </row>
    <row r="141" spans="2:12" ht="6" customHeight="1">
      <c r="B141" s="58"/>
      <c r="C141" s="58"/>
      <c r="D141" s="58"/>
      <c r="E141" s="58"/>
      <c r="F141" s="58"/>
      <c r="G141" s="59"/>
      <c r="H141" s="58"/>
      <c r="I141" s="58"/>
      <c r="J141" s="59"/>
      <c r="K141" s="58"/>
      <c r="L141" s="58"/>
    </row>
    <row r="142" spans="2:12" ht="25.5">
      <c r="B142" s="60" t="s">
        <v>121</v>
      </c>
      <c r="C142" s="60" t="s">
        <v>122</v>
      </c>
      <c r="E142" s="60" t="s">
        <v>121</v>
      </c>
      <c r="F142" s="60" t="s">
        <v>122</v>
      </c>
      <c r="G142" s="3"/>
      <c r="H142" s="60" t="s">
        <v>121</v>
      </c>
      <c r="I142" s="60" t="s">
        <v>122</v>
      </c>
      <c r="K142" s="60" t="s">
        <v>121</v>
      </c>
      <c r="L142" s="60" t="s">
        <v>122</v>
      </c>
    </row>
    <row r="143" spans="2:12" ht="5.25" customHeight="1">
      <c r="G143" s="3"/>
    </row>
    <row r="144" spans="2:12">
      <c r="B144" s="46">
        <v>-408.59</v>
      </c>
      <c r="C144" s="46">
        <v>102.81</v>
      </c>
      <c r="E144" s="46">
        <v>-528.13</v>
      </c>
      <c r="F144" s="46">
        <v>103.01</v>
      </c>
      <c r="G144" s="3"/>
      <c r="H144" s="46">
        <v>-502.72</v>
      </c>
      <c r="I144" s="49">
        <v>103</v>
      </c>
      <c r="K144" s="46">
        <v>-493.05</v>
      </c>
      <c r="L144" s="46">
        <v>102.41</v>
      </c>
    </row>
    <row r="145" spans="2:12">
      <c r="B145" s="46">
        <v>-408.44</v>
      </c>
      <c r="C145" s="46">
        <v>102.31</v>
      </c>
      <c r="E145" s="46">
        <v>-526.67999999999995</v>
      </c>
      <c r="F145" s="46">
        <v>102.51</v>
      </c>
      <c r="G145" s="3"/>
      <c r="H145" s="46">
        <v>-503.17</v>
      </c>
      <c r="I145" s="46">
        <v>102.5</v>
      </c>
      <c r="K145" s="46">
        <v>-493.44</v>
      </c>
      <c r="L145" s="46">
        <v>101.91</v>
      </c>
    </row>
    <row r="146" spans="2:12">
      <c r="B146" s="46">
        <v>-408.76</v>
      </c>
      <c r="C146" s="46">
        <v>101.81</v>
      </c>
      <c r="E146" s="46">
        <v>-525.07000000000005</v>
      </c>
      <c r="F146" s="46">
        <v>102.01</v>
      </c>
      <c r="G146" s="3"/>
      <c r="H146" s="46">
        <v>-503.48</v>
      </c>
      <c r="I146" s="46">
        <v>102</v>
      </c>
      <c r="K146" s="46">
        <v>-493.6</v>
      </c>
      <c r="L146" s="46">
        <v>101.41</v>
      </c>
    </row>
    <row r="147" spans="2:12">
      <c r="B147" s="46">
        <v>-409.08</v>
      </c>
      <c r="C147" s="46">
        <v>101.31</v>
      </c>
      <c r="E147" s="46">
        <v>-523.63</v>
      </c>
      <c r="F147" s="46">
        <v>101.51</v>
      </c>
      <c r="G147" s="3"/>
      <c r="H147" s="46">
        <v>-503.78</v>
      </c>
      <c r="I147" s="46">
        <v>101.5</v>
      </c>
      <c r="K147" s="46">
        <v>-493.77</v>
      </c>
      <c r="L147" s="46">
        <v>100.91</v>
      </c>
    </row>
    <row r="148" spans="2:12">
      <c r="B148" s="46">
        <v>-409.12</v>
      </c>
      <c r="C148" s="46">
        <v>100.81</v>
      </c>
      <c r="E148" s="46">
        <v>-521.66999999999996</v>
      </c>
      <c r="F148" s="46">
        <v>101.01</v>
      </c>
      <c r="G148" s="3"/>
      <c r="H148" s="46">
        <v>-503.78</v>
      </c>
      <c r="I148" s="46">
        <v>101</v>
      </c>
      <c r="K148" s="46">
        <v>-493.73</v>
      </c>
      <c r="L148" s="46">
        <v>100.41</v>
      </c>
    </row>
    <row r="149" spans="2:12">
      <c r="B149" s="46">
        <v>-408.88</v>
      </c>
      <c r="C149" s="46">
        <v>100.31</v>
      </c>
      <c r="E149" s="46">
        <v>-519.38</v>
      </c>
      <c r="F149" s="46">
        <v>100.51</v>
      </c>
      <c r="G149" s="3"/>
      <c r="H149" s="46">
        <v>-503.49</v>
      </c>
      <c r="I149" s="46">
        <v>100.5</v>
      </c>
      <c r="K149" s="46">
        <v>-493.09</v>
      </c>
      <c r="L149" s="46">
        <v>99.91</v>
      </c>
    </row>
    <row r="150" spans="2:12">
      <c r="B150" s="46">
        <v>-408.39</v>
      </c>
      <c r="C150" s="46">
        <v>99.81</v>
      </c>
      <c r="E150" s="46">
        <v>-516.62</v>
      </c>
      <c r="F150" s="46">
        <v>100.01</v>
      </c>
      <c r="G150" s="3"/>
      <c r="H150" s="46">
        <v>-502.95</v>
      </c>
      <c r="I150" s="46">
        <v>100</v>
      </c>
      <c r="K150" s="46">
        <v>-492.32</v>
      </c>
      <c r="L150" s="46">
        <v>99.41</v>
      </c>
    </row>
    <row r="151" spans="2:12">
      <c r="B151" s="46">
        <v>-407.48</v>
      </c>
      <c r="C151" s="46">
        <v>99.31</v>
      </c>
      <c r="E151" s="46">
        <v>-514.33000000000004</v>
      </c>
      <c r="F151" s="46">
        <v>99.51</v>
      </c>
      <c r="G151" s="3"/>
      <c r="H151" s="46">
        <v>-502.19</v>
      </c>
      <c r="I151" s="46">
        <v>99.5</v>
      </c>
      <c r="K151" s="46">
        <v>-491.78</v>
      </c>
      <c r="L151" s="46">
        <v>98.91</v>
      </c>
    </row>
    <row r="152" spans="2:12">
      <c r="B152" s="46">
        <v>-406.39</v>
      </c>
      <c r="C152" s="46">
        <v>98.81</v>
      </c>
      <c r="E152" s="46">
        <v>-511.81</v>
      </c>
      <c r="F152" s="46">
        <v>99.01</v>
      </c>
      <c r="G152" s="3"/>
      <c r="H152" s="46">
        <v>-501.49</v>
      </c>
      <c r="I152" s="46">
        <v>99</v>
      </c>
      <c r="K152" s="46">
        <v>-491.25</v>
      </c>
      <c r="L152" s="46">
        <v>98.41</v>
      </c>
    </row>
    <row r="153" spans="2:12">
      <c r="B153" s="46">
        <v>-405.32</v>
      </c>
      <c r="C153" s="46">
        <v>98.31</v>
      </c>
      <c r="E153" s="46">
        <v>-509.02</v>
      </c>
      <c r="F153" s="46">
        <v>98.51</v>
      </c>
      <c r="G153" s="3"/>
      <c r="H153" s="46">
        <v>-500.14</v>
      </c>
      <c r="I153" s="46">
        <v>98.5</v>
      </c>
      <c r="K153" s="46">
        <v>-490.97</v>
      </c>
      <c r="L153" s="46">
        <v>97.91</v>
      </c>
    </row>
    <row r="154" spans="2:12">
      <c r="B154" s="46">
        <v>-403.92</v>
      </c>
      <c r="C154" s="46">
        <v>97.81</v>
      </c>
      <c r="E154" s="46">
        <v>-505.87</v>
      </c>
      <c r="F154" s="46">
        <v>98.01</v>
      </c>
      <c r="G154" s="3"/>
      <c r="H154" s="46">
        <v>-498.29</v>
      </c>
      <c r="I154" s="46">
        <v>98</v>
      </c>
      <c r="K154" s="46">
        <v>-490.25</v>
      </c>
      <c r="L154" s="46">
        <v>97.41</v>
      </c>
    </row>
    <row r="155" spans="2:12">
      <c r="B155" s="46">
        <v>-402.63</v>
      </c>
      <c r="C155" s="46">
        <v>97.31</v>
      </c>
      <c r="E155" s="46">
        <v>-502.26</v>
      </c>
      <c r="F155" s="46">
        <v>97.51</v>
      </c>
      <c r="G155" s="3"/>
      <c r="H155" s="46">
        <v>-496.4</v>
      </c>
      <c r="I155" s="46">
        <v>97.5</v>
      </c>
      <c r="K155" s="46">
        <v>-487.96</v>
      </c>
      <c r="L155" s="46">
        <v>96.91</v>
      </c>
    </row>
    <row r="156" spans="2:12">
      <c r="B156" s="46">
        <v>-400.68</v>
      </c>
      <c r="C156" s="46">
        <v>96.81</v>
      </c>
      <c r="E156" s="46">
        <v>-498.35</v>
      </c>
      <c r="F156" s="46">
        <v>97.01</v>
      </c>
      <c r="G156" s="3"/>
      <c r="H156" s="46">
        <v>-493.73</v>
      </c>
      <c r="I156" s="46">
        <v>97</v>
      </c>
      <c r="K156" s="46">
        <v>-485.18</v>
      </c>
      <c r="L156" s="46">
        <v>96.41</v>
      </c>
    </row>
    <row r="157" spans="2:12">
      <c r="B157" s="46">
        <v>-399.04</v>
      </c>
      <c r="C157" s="46">
        <v>96.31</v>
      </c>
      <c r="E157" s="46">
        <v>-494.09</v>
      </c>
      <c r="F157" s="46">
        <v>96.51</v>
      </c>
      <c r="G157" s="3"/>
      <c r="H157" s="46">
        <v>-491.28</v>
      </c>
      <c r="I157" s="46">
        <v>96.5</v>
      </c>
      <c r="K157" s="46">
        <v>-482.25</v>
      </c>
      <c r="L157" s="46">
        <v>95.91</v>
      </c>
    </row>
    <row r="158" spans="2:12">
      <c r="B158" s="46">
        <v>-397.2</v>
      </c>
      <c r="C158" s="46">
        <v>95.81</v>
      </c>
      <c r="E158" s="46">
        <v>-489.31</v>
      </c>
      <c r="F158" s="46">
        <v>96.01</v>
      </c>
      <c r="G158" s="3"/>
      <c r="H158" s="46">
        <v>-488.25</v>
      </c>
      <c r="I158" s="46">
        <v>96</v>
      </c>
      <c r="K158" s="46">
        <v>-478.76</v>
      </c>
      <c r="L158" s="46">
        <v>95.41</v>
      </c>
    </row>
    <row r="159" spans="2:12">
      <c r="B159" s="46">
        <v>-395.3</v>
      </c>
      <c r="C159" s="46">
        <v>95.31</v>
      </c>
      <c r="E159" s="46">
        <v>-484.57</v>
      </c>
      <c r="F159" s="46">
        <v>95.51</v>
      </c>
      <c r="G159" s="3"/>
      <c r="H159" s="46">
        <v>-485.38</v>
      </c>
      <c r="I159" s="46">
        <v>95.5</v>
      </c>
      <c r="K159" s="46">
        <v>-474.95</v>
      </c>
      <c r="L159" s="46">
        <v>94.91</v>
      </c>
    </row>
    <row r="160" spans="2:12">
      <c r="B160" s="46">
        <v>-393.23</v>
      </c>
      <c r="C160" s="46">
        <v>94.81</v>
      </c>
      <c r="E160" s="46">
        <v>-479.7</v>
      </c>
      <c r="F160" s="46">
        <v>95.01</v>
      </c>
      <c r="G160" s="3"/>
      <c r="H160" s="46">
        <v>-482.29</v>
      </c>
      <c r="I160" s="46">
        <v>95</v>
      </c>
      <c r="K160" s="46">
        <v>-470.98</v>
      </c>
      <c r="L160" s="46">
        <v>94.41</v>
      </c>
    </row>
    <row r="161" spans="2:12">
      <c r="B161" s="46">
        <v>-391.02</v>
      </c>
      <c r="C161" s="46">
        <v>94.31</v>
      </c>
      <c r="E161" s="46">
        <v>-474.75</v>
      </c>
      <c r="F161" s="46">
        <v>94.51</v>
      </c>
      <c r="G161" s="3"/>
      <c r="H161" s="46">
        <v>-478.93</v>
      </c>
      <c r="I161" s="46">
        <v>94.5</v>
      </c>
      <c r="K161" s="46">
        <v>-466.99</v>
      </c>
      <c r="L161" s="46">
        <v>93.91</v>
      </c>
    </row>
    <row r="162" spans="2:12">
      <c r="B162" s="46">
        <v>-388.72</v>
      </c>
      <c r="C162" s="46">
        <v>93.81</v>
      </c>
      <c r="E162" s="46">
        <v>-469.44</v>
      </c>
      <c r="F162" s="46">
        <v>94.01</v>
      </c>
      <c r="G162" s="3"/>
      <c r="H162" s="46">
        <v>-475.13</v>
      </c>
      <c r="I162" s="46">
        <v>94</v>
      </c>
      <c r="K162" s="46">
        <v>-462.85</v>
      </c>
      <c r="L162" s="46">
        <v>93.41</v>
      </c>
    </row>
    <row r="163" spans="2:12">
      <c r="B163" s="46">
        <v>-386.27</v>
      </c>
      <c r="C163" s="46">
        <v>93.31</v>
      </c>
      <c r="E163" s="46">
        <v>-464.39</v>
      </c>
      <c r="F163" s="46">
        <v>93.51</v>
      </c>
      <c r="G163" s="3"/>
      <c r="H163" s="46">
        <v>-470.51</v>
      </c>
      <c r="I163" s="46">
        <v>93.5</v>
      </c>
      <c r="K163" s="46">
        <v>-458.25</v>
      </c>
      <c r="L163" s="46">
        <v>92.91</v>
      </c>
    </row>
    <row r="164" spans="2:12">
      <c r="B164" s="46">
        <v>-383.55</v>
      </c>
      <c r="C164" s="46">
        <v>92.81</v>
      </c>
      <c r="E164" s="46">
        <v>-458.7</v>
      </c>
      <c r="F164" s="46">
        <v>93.01</v>
      </c>
      <c r="G164" s="3"/>
      <c r="H164" s="46">
        <v>-466.3</v>
      </c>
      <c r="I164" s="46">
        <v>93</v>
      </c>
      <c r="K164" s="46">
        <v>-453.34</v>
      </c>
      <c r="L164" s="46">
        <v>92.41</v>
      </c>
    </row>
    <row r="165" spans="2:12">
      <c r="B165" s="46">
        <v>-380.83</v>
      </c>
      <c r="C165" s="46">
        <v>92.31</v>
      </c>
      <c r="E165" s="46">
        <v>-452.59</v>
      </c>
      <c r="F165" s="46">
        <v>92.51</v>
      </c>
      <c r="G165" s="3"/>
      <c r="H165" s="46">
        <v>-461.73</v>
      </c>
      <c r="I165" s="46">
        <v>92.5</v>
      </c>
      <c r="K165" s="46">
        <v>-448.1</v>
      </c>
      <c r="L165" s="46">
        <v>91.91</v>
      </c>
    </row>
    <row r="166" spans="2:12">
      <c r="B166" s="46">
        <v>-377.96</v>
      </c>
      <c r="C166" s="46">
        <v>91.81</v>
      </c>
      <c r="E166" s="46">
        <v>-446.18</v>
      </c>
      <c r="F166" s="46">
        <v>92.01</v>
      </c>
      <c r="G166" s="3"/>
      <c r="H166" s="46">
        <v>-456.79</v>
      </c>
      <c r="I166" s="46">
        <v>92</v>
      </c>
      <c r="K166" s="46">
        <v>-443.09</v>
      </c>
      <c r="L166" s="46">
        <v>91.41</v>
      </c>
    </row>
    <row r="167" spans="2:12">
      <c r="B167" s="46">
        <v>-374.8</v>
      </c>
      <c r="C167" s="46">
        <v>91.31</v>
      </c>
      <c r="E167" s="46">
        <v>-439.64</v>
      </c>
      <c r="F167" s="46">
        <v>91.51</v>
      </c>
      <c r="G167" s="3"/>
      <c r="H167" s="46">
        <v>-452.36</v>
      </c>
      <c r="I167" s="46">
        <v>91.5</v>
      </c>
      <c r="K167" s="46">
        <v>-438.04</v>
      </c>
      <c r="L167" s="46">
        <v>90.91</v>
      </c>
    </row>
    <row r="168" spans="2:12">
      <c r="B168" s="46">
        <v>-371.68</v>
      </c>
      <c r="C168" s="46">
        <v>90.81</v>
      </c>
      <c r="E168" s="46">
        <v>-432.7</v>
      </c>
      <c r="F168" s="46">
        <v>91.01</v>
      </c>
      <c r="G168" s="3"/>
      <c r="H168" s="46">
        <v>-446.83</v>
      </c>
      <c r="I168" s="46">
        <v>91</v>
      </c>
      <c r="K168" s="46">
        <v>-431.95</v>
      </c>
      <c r="L168" s="46">
        <v>90.41</v>
      </c>
    </row>
    <row r="169" spans="2:12">
      <c r="B169" s="46">
        <v>-368.7</v>
      </c>
      <c r="C169" s="46">
        <v>90.31</v>
      </c>
      <c r="E169" s="46">
        <v>-425.17</v>
      </c>
      <c r="F169" s="46">
        <v>90.51</v>
      </c>
      <c r="G169" s="3"/>
      <c r="H169" s="46">
        <v>-441.54</v>
      </c>
      <c r="I169" s="46">
        <v>90.5</v>
      </c>
      <c r="K169" s="46">
        <v>-425.56</v>
      </c>
      <c r="L169" s="46">
        <v>89.91</v>
      </c>
    </row>
    <row r="170" spans="2:12">
      <c r="B170" s="46">
        <v>-365.38</v>
      </c>
      <c r="C170" s="46">
        <v>89.81</v>
      </c>
      <c r="E170" s="46">
        <v>-417.88</v>
      </c>
      <c r="F170" s="46">
        <v>90.01</v>
      </c>
      <c r="G170" s="3"/>
      <c r="H170" s="46">
        <v>-435.51</v>
      </c>
      <c r="I170" s="46">
        <v>90</v>
      </c>
      <c r="K170" s="46">
        <v>-419.13</v>
      </c>
      <c r="L170" s="46">
        <v>89.41</v>
      </c>
    </row>
    <row r="171" spans="2:12">
      <c r="B171" s="46">
        <v>-361.87</v>
      </c>
      <c r="C171" s="46">
        <v>89.31</v>
      </c>
      <c r="E171" s="46">
        <v>-410.28</v>
      </c>
      <c r="F171" s="46">
        <v>89.51</v>
      </c>
      <c r="G171" s="3"/>
      <c r="H171" s="46">
        <v>-429.75</v>
      </c>
      <c r="I171" s="46">
        <v>89.5</v>
      </c>
      <c r="K171" s="46">
        <v>-412.85</v>
      </c>
      <c r="L171" s="46">
        <v>88.91</v>
      </c>
    </row>
    <row r="172" spans="2:12">
      <c r="B172" s="46">
        <v>-358.2</v>
      </c>
      <c r="C172" s="46">
        <v>88.81</v>
      </c>
      <c r="E172" s="46">
        <v>-402.44</v>
      </c>
      <c r="F172" s="46">
        <v>89.01</v>
      </c>
      <c r="G172" s="3"/>
      <c r="H172" s="46">
        <v>-424.44</v>
      </c>
      <c r="I172" s="46">
        <v>89</v>
      </c>
      <c r="K172" s="46">
        <v>-406.66</v>
      </c>
      <c r="L172" s="46">
        <v>88.41</v>
      </c>
    </row>
    <row r="173" spans="2:12">
      <c r="B173" s="46">
        <v>-354.6</v>
      </c>
      <c r="C173" s="46">
        <v>88.31</v>
      </c>
      <c r="E173" s="46">
        <v>-394.47</v>
      </c>
      <c r="F173" s="46">
        <v>88.51</v>
      </c>
      <c r="G173" s="3"/>
      <c r="H173" s="46">
        <v>-418.41</v>
      </c>
      <c r="I173" s="46">
        <v>88.5</v>
      </c>
      <c r="K173" s="46">
        <v>-400.67</v>
      </c>
      <c r="L173" s="46">
        <v>87.91</v>
      </c>
    </row>
    <row r="174" spans="2:12">
      <c r="B174" s="46">
        <v>-351.06</v>
      </c>
      <c r="C174" s="46">
        <v>87.81</v>
      </c>
      <c r="E174" s="46">
        <v>-386.55</v>
      </c>
      <c r="F174" s="46">
        <v>88.01</v>
      </c>
      <c r="G174" s="3"/>
      <c r="H174" s="46">
        <v>-411.99</v>
      </c>
      <c r="I174" s="46">
        <v>88</v>
      </c>
      <c r="K174" s="46">
        <v>-393.68</v>
      </c>
      <c r="L174" s="46">
        <v>87.41</v>
      </c>
    </row>
    <row r="175" spans="2:12">
      <c r="B175" s="46">
        <v>-347.47</v>
      </c>
      <c r="C175" s="46">
        <v>87.31</v>
      </c>
      <c r="E175" s="46">
        <v>-378.58</v>
      </c>
      <c r="F175" s="46">
        <v>87.51</v>
      </c>
      <c r="G175" s="3"/>
      <c r="H175" s="46">
        <v>-405.43</v>
      </c>
      <c r="I175" s="46">
        <v>87.5</v>
      </c>
      <c r="K175" s="46">
        <v>-386.35</v>
      </c>
      <c r="L175" s="46">
        <v>86.91</v>
      </c>
    </row>
    <row r="176" spans="2:12">
      <c r="B176" s="46">
        <v>-343.68</v>
      </c>
      <c r="C176" s="46">
        <v>86.81</v>
      </c>
      <c r="E176" s="46">
        <v>-370.66</v>
      </c>
      <c r="F176" s="46">
        <v>87.01</v>
      </c>
      <c r="G176" s="3"/>
      <c r="H176" s="46">
        <v>-398.44</v>
      </c>
      <c r="I176" s="46">
        <v>87</v>
      </c>
      <c r="K176" s="46">
        <v>-379.03</v>
      </c>
      <c r="L176" s="46">
        <v>86.41</v>
      </c>
    </row>
    <row r="177" spans="2:12">
      <c r="B177" s="46">
        <v>-339.81</v>
      </c>
      <c r="C177" s="46">
        <v>86.31</v>
      </c>
      <c r="E177" s="46">
        <v>-362.8</v>
      </c>
      <c r="F177" s="46">
        <v>86.51</v>
      </c>
      <c r="G177" s="3"/>
      <c r="H177" s="46">
        <v>-391.65</v>
      </c>
      <c r="I177" s="46">
        <v>86.5</v>
      </c>
      <c r="K177" s="46">
        <v>-371.73</v>
      </c>
      <c r="L177" s="46">
        <v>85.91</v>
      </c>
    </row>
    <row r="178" spans="2:12">
      <c r="B178" s="46">
        <v>-335.71</v>
      </c>
      <c r="C178" s="46">
        <v>85.81</v>
      </c>
      <c r="E178" s="46">
        <v>-354.83</v>
      </c>
      <c r="F178" s="46">
        <v>86.01</v>
      </c>
      <c r="G178" s="3"/>
      <c r="H178" s="46">
        <v>-384.9</v>
      </c>
      <c r="I178" s="46">
        <v>86</v>
      </c>
      <c r="K178" s="46">
        <v>-364.56</v>
      </c>
      <c r="L178" s="46">
        <v>85.41</v>
      </c>
    </row>
    <row r="179" spans="2:12">
      <c r="B179" s="46">
        <v>-331.35</v>
      </c>
      <c r="C179" s="46">
        <v>85.31</v>
      </c>
      <c r="E179" s="46">
        <v>-346.71</v>
      </c>
      <c r="F179" s="46">
        <v>85.51</v>
      </c>
      <c r="G179" s="3"/>
      <c r="H179" s="46">
        <v>-377.81</v>
      </c>
      <c r="I179" s="46">
        <v>85.5</v>
      </c>
      <c r="K179" s="46">
        <v>-357.52</v>
      </c>
      <c r="L179" s="46">
        <v>84.91</v>
      </c>
    </row>
    <row r="180" spans="2:12">
      <c r="B180" s="46">
        <v>-327.16000000000003</v>
      </c>
      <c r="C180" s="46">
        <v>84.81</v>
      </c>
      <c r="E180" s="46">
        <v>-338.11</v>
      </c>
      <c r="F180" s="46">
        <v>85.01</v>
      </c>
      <c r="G180" s="3"/>
      <c r="H180" s="46">
        <v>-370.53</v>
      </c>
      <c r="I180" s="46">
        <v>85</v>
      </c>
      <c r="K180" s="46">
        <v>-350.19</v>
      </c>
      <c r="L180" s="46">
        <v>84.41</v>
      </c>
    </row>
    <row r="181" spans="2:12">
      <c r="B181" s="46">
        <v>-323.39999999999998</v>
      </c>
      <c r="C181" s="46">
        <v>84.31</v>
      </c>
      <c r="E181" s="46">
        <v>-329.61</v>
      </c>
      <c r="F181" s="46">
        <v>84.51</v>
      </c>
      <c r="G181" s="3"/>
      <c r="H181" s="46">
        <v>-363.09</v>
      </c>
      <c r="I181" s="46">
        <v>84.5</v>
      </c>
      <c r="K181" s="46">
        <v>-342.49</v>
      </c>
      <c r="L181" s="46">
        <v>83.91</v>
      </c>
    </row>
    <row r="182" spans="2:12">
      <c r="B182" s="46">
        <v>-318.79000000000002</v>
      </c>
      <c r="C182" s="46">
        <v>83.81</v>
      </c>
      <c r="E182" s="46">
        <v>-321.06</v>
      </c>
      <c r="F182" s="46">
        <v>84.01</v>
      </c>
      <c r="G182" s="3"/>
      <c r="H182" s="46">
        <v>-355.46</v>
      </c>
      <c r="I182" s="46">
        <v>84</v>
      </c>
      <c r="K182" s="46">
        <v>-335.09</v>
      </c>
      <c r="L182" s="46">
        <v>83.41</v>
      </c>
    </row>
    <row r="183" spans="2:12">
      <c r="B183" s="46">
        <v>-313.58999999999997</v>
      </c>
      <c r="C183" s="46">
        <v>83.31</v>
      </c>
      <c r="E183" s="46">
        <v>-312.29000000000002</v>
      </c>
      <c r="F183" s="46">
        <v>83.51</v>
      </c>
      <c r="G183" s="3"/>
      <c r="H183" s="46">
        <v>-347.69</v>
      </c>
      <c r="I183" s="46">
        <v>83.5</v>
      </c>
      <c r="K183" s="46">
        <v>-327.49</v>
      </c>
      <c r="L183" s="46">
        <v>82.91</v>
      </c>
    </row>
    <row r="184" spans="2:12">
      <c r="B184" s="46">
        <v>-308.41000000000003</v>
      </c>
      <c r="C184" s="46">
        <v>82.81</v>
      </c>
      <c r="E184" s="46">
        <v>-303.58</v>
      </c>
      <c r="F184" s="46">
        <v>83.01</v>
      </c>
      <c r="G184" s="3"/>
      <c r="H184" s="46">
        <v>-339.94</v>
      </c>
      <c r="I184" s="46">
        <v>83</v>
      </c>
      <c r="K184" s="46">
        <v>-319.77999999999997</v>
      </c>
      <c r="L184" s="46">
        <v>82.41</v>
      </c>
    </row>
    <row r="185" spans="2:12">
      <c r="B185" s="46">
        <v>-303.3</v>
      </c>
      <c r="C185" s="46">
        <v>82.31</v>
      </c>
      <c r="E185" s="46">
        <v>-294.89</v>
      </c>
      <c r="F185" s="46">
        <v>82.51</v>
      </c>
      <c r="G185" s="3"/>
      <c r="H185" s="46">
        <v>-332.28</v>
      </c>
      <c r="I185" s="46">
        <v>82.5</v>
      </c>
      <c r="K185" s="46">
        <v>-312.38</v>
      </c>
      <c r="L185" s="46">
        <v>81.91</v>
      </c>
    </row>
    <row r="186" spans="2:12">
      <c r="B186" s="46">
        <v>-298.39999999999998</v>
      </c>
      <c r="C186" s="46">
        <v>81.81</v>
      </c>
      <c r="E186" s="46">
        <v>-285.76</v>
      </c>
      <c r="F186" s="46">
        <v>82.01</v>
      </c>
      <c r="G186" s="3"/>
      <c r="H186" s="46">
        <v>-324.32</v>
      </c>
      <c r="I186" s="46">
        <v>82</v>
      </c>
      <c r="K186" s="46">
        <v>-304.58</v>
      </c>
      <c r="L186" s="46">
        <v>81.41</v>
      </c>
    </row>
    <row r="187" spans="2:12">
      <c r="B187" s="46">
        <v>-293.27999999999997</v>
      </c>
      <c r="C187" s="46">
        <v>81.31</v>
      </c>
      <c r="E187" s="46">
        <v>-276.93</v>
      </c>
      <c r="F187" s="46">
        <v>81.510000000000005</v>
      </c>
      <c r="G187" s="3"/>
      <c r="H187" s="46">
        <v>-316.12</v>
      </c>
      <c r="I187" s="46">
        <v>81.5</v>
      </c>
      <c r="K187" s="46">
        <v>-296.85000000000002</v>
      </c>
      <c r="L187" s="46">
        <v>80.91</v>
      </c>
    </row>
    <row r="188" spans="2:12">
      <c r="B188" s="46">
        <v>-288.37</v>
      </c>
      <c r="C188" s="46">
        <v>80.81</v>
      </c>
      <c r="E188" s="46">
        <v>-267.85000000000002</v>
      </c>
      <c r="F188" s="46">
        <v>81.010000000000005</v>
      </c>
      <c r="G188" s="3"/>
      <c r="H188" s="46">
        <v>-307.95</v>
      </c>
      <c r="I188" s="46">
        <v>81</v>
      </c>
      <c r="K188" s="46">
        <v>-289.39</v>
      </c>
      <c r="L188" s="46">
        <v>80.41</v>
      </c>
    </row>
    <row r="189" spans="2:12">
      <c r="B189" s="46">
        <v>-283.06</v>
      </c>
      <c r="C189" s="46">
        <v>80.31</v>
      </c>
      <c r="E189" s="46">
        <v>-258.70999999999998</v>
      </c>
      <c r="F189" s="46">
        <v>80.510000000000005</v>
      </c>
      <c r="G189" s="3"/>
      <c r="H189" s="46">
        <v>-299.58999999999997</v>
      </c>
      <c r="I189" s="46">
        <v>80.5</v>
      </c>
      <c r="K189" s="46">
        <v>-282.49</v>
      </c>
      <c r="L189" s="46">
        <v>79.91</v>
      </c>
    </row>
    <row r="190" spans="2:12">
      <c r="B190" s="46">
        <v>-277.20999999999998</v>
      </c>
      <c r="C190" s="46">
        <v>79.81</v>
      </c>
      <c r="E190" s="46">
        <v>-249.42</v>
      </c>
      <c r="F190" s="46">
        <v>80.010000000000005</v>
      </c>
      <c r="G190" s="3"/>
      <c r="H190" s="46">
        <v>-291.13</v>
      </c>
      <c r="I190" s="46">
        <v>80</v>
      </c>
      <c r="K190" s="46">
        <v>-275.06</v>
      </c>
      <c r="L190" s="46">
        <v>79.41</v>
      </c>
    </row>
    <row r="191" spans="2:12">
      <c r="B191" s="46">
        <v>-271.23</v>
      </c>
      <c r="C191" s="46">
        <v>79.31</v>
      </c>
      <c r="E191" s="46">
        <v>-240.02</v>
      </c>
      <c r="F191" s="46">
        <v>79.510000000000005</v>
      </c>
      <c r="G191" s="3"/>
      <c r="H191" s="46">
        <v>-283.05</v>
      </c>
      <c r="I191" s="46">
        <v>79.5</v>
      </c>
      <c r="K191" s="46">
        <v>-267.38</v>
      </c>
      <c r="L191" s="46">
        <v>78.91</v>
      </c>
    </row>
    <row r="192" spans="2:12">
      <c r="B192" s="46">
        <v>-265.25</v>
      </c>
      <c r="C192" s="46">
        <v>78.81</v>
      </c>
      <c r="E192" s="46">
        <v>-230.75</v>
      </c>
      <c r="F192" s="46">
        <v>79.010000000000005</v>
      </c>
      <c r="G192" s="3"/>
      <c r="H192" s="46">
        <v>-275.02999999999997</v>
      </c>
      <c r="I192" s="46">
        <v>79</v>
      </c>
      <c r="K192" s="46">
        <v>-260.29000000000002</v>
      </c>
      <c r="L192" s="46">
        <v>78.41</v>
      </c>
    </row>
    <row r="193" spans="2:12">
      <c r="B193" s="46">
        <v>-259.48</v>
      </c>
      <c r="C193" s="46">
        <v>78.31</v>
      </c>
      <c r="E193" s="46">
        <v>-221.7</v>
      </c>
      <c r="F193" s="46">
        <v>78.510000000000005</v>
      </c>
      <c r="G193" s="3"/>
      <c r="H193" s="46">
        <v>-266.72000000000003</v>
      </c>
      <c r="I193" s="46">
        <v>78.5</v>
      </c>
      <c r="K193" s="46">
        <v>-253.13</v>
      </c>
      <c r="L193" s="46">
        <v>77.91</v>
      </c>
    </row>
    <row r="194" spans="2:12">
      <c r="B194" s="46">
        <v>-253.67</v>
      </c>
      <c r="C194" s="46">
        <v>77.81</v>
      </c>
      <c r="E194" s="46">
        <v>-212.15</v>
      </c>
      <c r="F194" s="46">
        <v>78.010000000000005</v>
      </c>
      <c r="G194" s="3"/>
      <c r="H194" s="46">
        <v>-258.36</v>
      </c>
      <c r="I194" s="46">
        <v>78</v>
      </c>
      <c r="K194" s="46">
        <v>-246</v>
      </c>
      <c r="L194" s="46">
        <v>77.41</v>
      </c>
    </row>
    <row r="195" spans="2:12">
      <c r="B195" s="46">
        <v>-247.96</v>
      </c>
      <c r="C195" s="46">
        <v>77.31</v>
      </c>
      <c r="E195" s="46">
        <v>-202.8</v>
      </c>
      <c r="F195" s="46">
        <v>77.510000000000005</v>
      </c>
      <c r="G195" s="3"/>
      <c r="H195" s="46">
        <v>-249.61</v>
      </c>
      <c r="I195" s="46">
        <v>77.5</v>
      </c>
      <c r="K195" s="46">
        <v>-238.96</v>
      </c>
      <c r="L195" s="46">
        <v>76.91</v>
      </c>
    </row>
    <row r="196" spans="2:12">
      <c r="B196" s="46">
        <v>-242.28</v>
      </c>
      <c r="C196" s="46">
        <v>76.81</v>
      </c>
      <c r="E196" s="46">
        <v>-193.69</v>
      </c>
      <c r="F196" s="46">
        <v>77.010000000000005</v>
      </c>
      <c r="G196" s="3"/>
      <c r="H196" s="46">
        <v>-240.77</v>
      </c>
      <c r="I196" s="46">
        <v>77</v>
      </c>
      <c r="K196" s="46">
        <v>-231.95</v>
      </c>
      <c r="L196" s="46">
        <v>76.41</v>
      </c>
    </row>
    <row r="197" spans="2:12">
      <c r="B197" s="46">
        <v>-236.05</v>
      </c>
      <c r="C197" s="46">
        <v>76.31</v>
      </c>
      <c r="E197" s="46">
        <v>-184.5</v>
      </c>
      <c r="F197" s="46">
        <v>76.510000000000005</v>
      </c>
      <c r="G197" s="3"/>
      <c r="H197" s="46">
        <v>-231.98</v>
      </c>
      <c r="I197" s="46">
        <v>76.5</v>
      </c>
      <c r="K197" s="46">
        <v>-224.66</v>
      </c>
      <c r="L197" s="46">
        <v>75.91</v>
      </c>
    </row>
    <row r="198" spans="2:12">
      <c r="B198" s="46">
        <v>-229.65</v>
      </c>
      <c r="C198" s="46">
        <v>75.81</v>
      </c>
      <c r="E198" s="46">
        <v>-175.1</v>
      </c>
      <c r="F198" s="46">
        <v>76.010000000000005</v>
      </c>
      <c r="G198" s="3"/>
      <c r="H198" s="46">
        <v>-223.28</v>
      </c>
      <c r="I198" s="46">
        <v>76</v>
      </c>
      <c r="K198" s="46">
        <v>-217.67</v>
      </c>
      <c r="L198" s="46">
        <v>75.41</v>
      </c>
    </row>
    <row r="199" spans="2:12">
      <c r="B199" s="46">
        <v>-223.18</v>
      </c>
      <c r="C199" s="46">
        <v>75.31</v>
      </c>
      <c r="E199" s="46">
        <v>-166.01</v>
      </c>
      <c r="F199" s="46">
        <v>75.510000000000005</v>
      </c>
      <c r="G199" s="3"/>
      <c r="H199" s="46">
        <v>-214.24</v>
      </c>
      <c r="I199" s="46">
        <v>75.5</v>
      </c>
      <c r="K199" s="46">
        <v>-210.34</v>
      </c>
      <c r="L199" s="46">
        <v>74.91</v>
      </c>
    </row>
    <row r="200" spans="2:12">
      <c r="B200" s="46">
        <v>-217.06</v>
      </c>
      <c r="C200" s="46">
        <v>74.81</v>
      </c>
      <c r="E200" s="46">
        <v>-157.30000000000001</v>
      </c>
      <c r="F200" s="46">
        <v>75.010000000000005</v>
      </c>
      <c r="G200" s="3"/>
      <c r="H200" s="46">
        <v>-205.2</v>
      </c>
      <c r="I200" s="46">
        <v>75</v>
      </c>
      <c r="K200" s="46">
        <v>-202.58</v>
      </c>
      <c r="L200" s="46">
        <v>74.41</v>
      </c>
    </row>
    <row r="201" spans="2:12">
      <c r="B201" s="46">
        <v>-210.34</v>
      </c>
      <c r="C201" s="46">
        <v>74.31</v>
      </c>
      <c r="E201" s="46">
        <v>-148.21</v>
      </c>
      <c r="F201" s="46">
        <v>74.510000000000005</v>
      </c>
      <c r="G201" s="3"/>
      <c r="H201" s="46">
        <v>-196.42</v>
      </c>
      <c r="I201" s="46">
        <v>74.5</v>
      </c>
      <c r="K201" s="46">
        <v>-195.06</v>
      </c>
      <c r="L201" s="46">
        <v>73.91</v>
      </c>
    </row>
    <row r="202" spans="2:12">
      <c r="B202" s="46">
        <v>-203.29</v>
      </c>
      <c r="C202" s="46">
        <v>73.81</v>
      </c>
      <c r="E202" s="46">
        <v>-139.13</v>
      </c>
      <c r="F202" s="46">
        <v>74.010000000000005</v>
      </c>
      <c r="G202" s="3"/>
      <c r="H202" s="46">
        <v>-187.9</v>
      </c>
      <c r="I202" s="46">
        <v>74</v>
      </c>
      <c r="K202" s="46">
        <v>-187.24</v>
      </c>
      <c r="L202" s="46">
        <v>73.41</v>
      </c>
    </row>
    <row r="203" spans="2:12">
      <c r="B203" s="46">
        <v>-196.28</v>
      </c>
      <c r="C203" s="46">
        <v>73.31</v>
      </c>
      <c r="E203" s="46">
        <v>-130.19999999999999</v>
      </c>
      <c r="F203" s="46">
        <v>73.510000000000005</v>
      </c>
      <c r="G203" s="3"/>
      <c r="H203" s="46">
        <v>-179.31</v>
      </c>
      <c r="I203" s="46">
        <v>73.5</v>
      </c>
      <c r="K203" s="46">
        <v>-179.13</v>
      </c>
      <c r="L203" s="46">
        <v>72.91</v>
      </c>
    </row>
    <row r="204" spans="2:12">
      <c r="B204" s="46">
        <v>-189.55</v>
      </c>
      <c r="C204" s="46">
        <v>72.81</v>
      </c>
      <c r="E204" s="46">
        <v>-121.27</v>
      </c>
      <c r="F204" s="46">
        <v>73.010000000000005</v>
      </c>
      <c r="G204" s="3"/>
      <c r="H204" s="46">
        <v>-170.16</v>
      </c>
      <c r="I204" s="46">
        <v>73</v>
      </c>
      <c r="K204" s="46">
        <v>-171.34</v>
      </c>
      <c r="L204" s="46">
        <v>72.41</v>
      </c>
    </row>
    <row r="205" spans="2:12">
      <c r="B205" s="46">
        <v>-182.14</v>
      </c>
      <c r="C205" s="46">
        <v>72.31</v>
      </c>
      <c r="E205" s="46">
        <v>-112.54</v>
      </c>
      <c r="F205" s="46">
        <v>72.510000000000005</v>
      </c>
      <c r="G205" s="3"/>
      <c r="H205" s="46">
        <v>-161.27000000000001</v>
      </c>
      <c r="I205" s="46">
        <v>72.5</v>
      </c>
      <c r="K205" s="46">
        <v>-163.99</v>
      </c>
      <c r="L205" s="46">
        <v>71.91</v>
      </c>
    </row>
    <row r="206" spans="2:12">
      <c r="B206" s="46">
        <v>-175.17</v>
      </c>
      <c r="C206" s="46">
        <v>71.81</v>
      </c>
      <c r="E206" s="46">
        <v>-104.11</v>
      </c>
      <c r="F206" s="46">
        <v>72.010000000000005</v>
      </c>
      <c r="G206" s="3"/>
      <c r="H206" s="46">
        <v>-152.25</v>
      </c>
      <c r="I206" s="46">
        <v>72</v>
      </c>
      <c r="K206" s="46">
        <v>-156.91999999999999</v>
      </c>
      <c r="L206" s="46">
        <v>71.41</v>
      </c>
    </row>
    <row r="207" spans="2:12">
      <c r="B207" s="46">
        <v>-168.38</v>
      </c>
      <c r="C207" s="46">
        <v>71.31</v>
      </c>
      <c r="E207" s="46">
        <v>-95.97</v>
      </c>
      <c r="F207" s="46">
        <v>71.510000000000005</v>
      </c>
      <c r="G207" s="3"/>
      <c r="H207" s="46">
        <v>-143.44999999999999</v>
      </c>
      <c r="I207" s="46">
        <v>71.5</v>
      </c>
      <c r="K207" s="46">
        <v>-149.24</v>
      </c>
      <c r="L207" s="46">
        <v>70.91</v>
      </c>
    </row>
    <row r="208" spans="2:12">
      <c r="B208" s="46">
        <v>-161.81</v>
      </c>
      <c r="C208" s="46">
        <v>70.81</v>
      </c>
      <c r="E208" s="46">
        <v>-87.27</v>
      </c>
      <c r="F208" s="46">
        <v>71.010000000000005</v>
      </c>
      <c r="G208" s="3"/>
      <c r="H208" s="46">
        <v>-134.72999999999999</v>
      </c>
      <c r="I208" s="46">
        <v>71</v>
      </c>
      <c r="K208" s="46">
        <v>-141.35</v>
      </c>
      <c r="L208" s="46">
        <v>70.41</v>
      </c>
    </row>
    <row r="209" spans="2:12">
      <c r="B209" s="46">
        <v>-155.31</v>
      </c>
      <c r="C209" s="46">
        <v>70.31</v>
      </c>
      <c r="E209" s="46">
        <v>-78.98</v>
      </c>
      <c r="F209" s="46">
        <v>70.510000000000005</v>
      </c>
      <c r="G209" s="3"/>
      <c r="H209" s="46">
        <v>-125.93</v>
      </c>
      <c r="I209" s="46">
        <v>70.5</v>
      </c>
      <c r="K209" s="46">
        <v>-133.52000000000001</v>
      </c>
      <c r="L209" s="46">
        <v>69.91</v>
      </c>
    </row>
    <row r="210" spans="2:12">
      <c r="B210" s="46">
        <v>-148.59</v>
      </c>
      <c r="C210" s="46">
        <v>69.81</v>
      </c>
      <c r="E210" s="46">
        <v>-71.510000000000005</v>
      </c>
      <c r="F210" s="46">
        <v>70.010000000000005</v>
      </c>
      <c r="G210" s="3"/>
      <c r="H210" s="46">
        <v>-117.23</v>
      </c>
      <c r="I210" s="46">
        <v>70</v>
      </c>
      <c r="K210" s="46">
        <v>-126.11</v>
      </c>
      <c r="L210" s="46">
        <v>69.41</v>
      </c>
    </row>
    <row r="211" spans="2:12">
      <c r="B211" s="46">
        <v>-142.02000000000001</v>
      </c>
      <c r="C211" s="46">
        <v>69.31</v>
      </c>
      <c r="E211" s="46">
        <v>-64.13</v>
      </c>
      <c r="F211" s="46">
        <v>69.510000000000005</v>
      </c>
      <c r="G211" s="3"/>
      <c r="H211" s="46">
        <v>-108.73</v>
      </c>
      <c r="I211" s="46">
        <v>69.5</v>
      </c>
      <c r="K211" s="46">
        <v>-118.83</v>
      </c>
      <c r="L211" s="46">
        <v>68.91</v>
      </c>
    </row>
    <row r="212" spans="2:12">
      <c r="B212" s="46">
        <v>-135.59</v>
      </c>
      <c r="C212" s="46">
        <v>68.81</v>
      </c>
      <c r="E212" s="46">
        <v>-56.59</v>
      </c>
      <c r="F212" s="46">
        <v>69.010000000000005</v>
      </c>
      <c r="G212" s="3"/>
      <c r="H212" s="46">
        <v>-100.62</v>
      </c>
      <c r="I212" s="46">
        <v>69</v>
      </c>
      <c r="K212" s="46">
        <v>-111.75</v>
      </c>
      <c r="L212" s="46">
        <v>68.41</v>
      </c>
    </row>
    <row r="213" spans="2:12">
      <c r="B213" s="46">
        <v>-128.49</v>
      </c>
      <c r="C213" s="46">
        <v>68.31</v>
      </c>
      <c r="E213" s="46">
        <v>-49.66</v>
      </c>
      <c r="F213" s="46">
        <v>68.510000000000005</v>
      </c>
      <c r="G213" s="3"/>
      <c r="H213" s="46">
        <v>-92.25</v>
      </c>
      <c r="I213" s="46">
        <v>68.5</v>
      </c>
      <c r="K213" s="46">
        <v>-104.41</v>
      </c>
      <c r="L213" s="46">
        <v>67.91</v>
      </c>
    </row>
    <row r="214" spans="2:12">
      <c r="B214" s="46">
        <v>-121.28</v>
      </c>
      <c r="C214" s="46">
        <v>67.81</v>
      </c>
      <c r="E214" s="46">
        <v>-43.27</v>
      </c>
      <c r="F214" s="46">
        <v>68.010000000000005</v>
      </c>
      <c r="G214" s="3"/>
      <c r="H214" s="46">
        <v>-83.98</v>
      </c>
      <c r="I214" s="46">
        <v>68</v>
      </c>
      <c r="K214" s="46">
        <v>-97.47</v>
      </c>
      <c r="L214" s="46">
        <v>67.41</v>
      </c>
    </row>
    <row r="215" spans="2:12">
      <c r="B215" s="46">
        <v>-114.26</v>
      </c>
      <c r="C215" s="46">
        <v>67.31</v>
      </c>
      <c r="E215" s="46">
        <v>-37.630000000000003</v>
      </c>
      <c r="F215" s="46">
        <v>67.510000000000005</v>
      </c>
      <c r="G215" s="3"/>
      <c r="H215" s="46">
        <v>-76.010000000000005</v>
      </c>
      <c r="I215" s="46">
        <v>67.5</v>
      </c>
      <c r="K215" s="46">
        <v>-90.87</v>
      </c>
      <c r="L215" s="46">
        <v>66.91</v>
      </c>
    </row>
    <row r="216" spans="2:12">
      <c r="B216" s="46">
        <v>-106.85</v>
      </c>
      <c r="C216" s="46">
        <v>66.81</v>
      </c>
      <c r="E216" s="46">
        <v>-31.93</v>
      </c>
      <c r="F216" s="46">
        <v>67.010000000000005</v>
      </c>
      <c r="G216" s="3"/>
      <c r="H216" s="46">
        <v>-68.040000000000006</v>
      </c>
      <c r="I216" s="46">
        <v>67</v>
      </c>
      <c r="K216" s="46">
        <v>-84.12</v>
      </c>
      <c r="L216" s="46">
        <v>66.41</v>
      </c>
    </row>
    <row r="217" spans="2:12">
      <c r="B217" s="46">
        <v>-100.04</v>
      </c>
      <c r="C217" s="46">
        <v>66.31</v>
      </c>
      <c r="E217" s="46">
        <v>-25.33</v>
      </c>
      <c r="F217" s="46">
        <v>66.510000000000005</v>
      </c>
      <c r="G217" s="3"/>
      <c r="H217" s="46">
        <v>-60.24</v>
      </c>
      <c r="I217" s="46">
        <v>66.5</v>
      </c>
      <c r="K217" s="46">
        <v>-77.180000000000007</v>
      </c>
      <c r="L217" s="46">
        <v>65.91</v>
      </c>
    </row>
    <row r="218" spans="2:12">
      <c r="B218" s="46">
        <v>-93.35</v>
      </c>
      <c r="C218" s="46">
        <v>65.81</v>
      </c>
      <c r="E218" s="46">
        <v>-18.809999999999999</v>
      </c>
      <c r="F218" s="46">
        <v>66.010000000000005</v>
      </c>
      <c r="G218" s="3"/>
      <c r="H218" s="46">
        <v>-52.89</v>
      </c>
      <c r="I218" s="46">
        <v>66</v>
      </c>
      <c r="K218" s="46">
        <v>-70.819999999999993</v>
      </c>
      <c r="L218" s="46">
        <v>65.41</v>
      </c>
    </row>
    <row r="219" spans="2:12">
      <c r="B219" s="46">
        <v>-86.93</v>
      </c>
      <c r="C219" s="46">
        <v>65.31</v>
      </c>
      <c r="E219" s="46">
        <v>-13.32</v>
      </c>
      <c r="F219" s="46">
        <v>65.510000000000005</v>
      </c>
      <c r="G219" s="3"/>
      <c r="H219" s="46">
        <v>-45.39</v>
      </c>
      <c r="I219" s="46">
        <v>65.5</v>
      </c>
      <c r="K219" s="46">
        <v>-64.92</v>
      </c>
      <c r="L219" s="46">
        <v>64.91</v>
      </c>
    </row>
    <row r="220" spans="2:12">
      <c r="B220" s="46">
        <v>-80.97</v>
      </c>
      <c r="C220" s="46">
        <v>64.81</v>
      </c>
      <c r="E220" s="46">
        <v>-8.7799999999999994</v>
      </c>
      <c r="F220" s="46">
        <v>65.010000000000005</v>
      </c>
      <c r="G220" s="3"/>
      <c r="H220" s="46">
        <v>-38.42</v>
      </c>
      <c r="I220" s="46">
        <v>65</v>
      </c>
      <c r="K220" s="46">
        <v>-58.8</v>
      </c>
      <c r="L220" s="46">
        <v>64.41</v>
      </c>
    </row>
    <row r="221" spans="2:12">
      <c r="B221" s="46">
        <v>-75.14</v>
      </c>
      <c r="C221" s="46">
        <v>64.31</v>
      </c>
      <c r="E221" s="46">
        <v>-4.34</v>
      </c>
      <c r="F221" s="46">
        <v>64.510000000000005</v>
      </c>
      <c r="G221" s="3"/>
      <c r="H221" s="46">
        <v>-31.61</v>
      </c>
      <c r="I221" s="46">
        <v>64.5</v>
      </c>
      <c r="K221" s="46">
        <v>-52.57</v>
      </c>
      <c r="L221" s="46">
        <v>63.91</v>
      </c>
    </row>
    <row r="222" spans="2:12">
      <c r="B222" s="46">
        <v>-69.56</v>
      </c>
      <c r="C222" s="46">
        <v>63.81</v>
      </c>
      <c r="E222" s="46">
        <v>0.59</v>
      </c>
      <c r="F222" s="46">
        <v>64.010000000000005</v>
      </c>
      <c r="G222" s="3"/>
      <c r="H222" s="46">
        <v>-25.45</v>
      </c>
      <c r="I222" s="46">
        <v>64</v>
      </c>
      <c r="K222" s="46">
        <v>-46.5</v>
      </c>
      <c r="L222" s="46">
        <v>63.41</v>
      </c>
    </row>
    <row r="223" spans="2:12">
      <c r="B223" s="46">
        <v>-64.319999999999993</v>
      </c>
      <c r="C223" s="46">
        <v>63.31</v>
      </c>
      <c r="E223" s="46">
        <v>5.16</v>
      </c>
      <c r="F223" s="46">
        <v>63.51</v>
      </c>
      <c r="G223" s="3"/>
      <c r="H223" s="46">
        <v>-19.05</v>
      </c>
      <c r="I223" s="46">
        <v>63.5</v>
      </c>
      <c r="K223" s="46">
        <v>-40.76</v>
      </c>
      <c r="L223" s="46">
        <v>62.91</v>
      </c>
    </row>
    <row r="224" spans="2:12">
      <c r="B224" s="46">
        <v>-58.94</v>
      </c>
      <c r="C224" s="46">
        <v>62.81</v>
      </c>
      <c r="E224" s="46">
        <v>8.9600000000000009</v>
      </c>
      <c r="F224" s="46">
        <v>63.01</v>
      </c>
      <c r="G224" s="3"/>
      <c r="H224" s="46">
        <v>-12.85</v>
      </c>
      <c r="I224" s="46">
        <v>63</v>
      </c>
      <c r="K224" s="46">
        <v>-35.28</v>
      </c>
      <c r="L224" s="46">
        <v>62.41</v>
      </c>
    </row>
    <row r="225" spans="2:12">
      <c r="B225" s="46">
        <v>-53.81</v>
      </c>
      <c r="C225" s="46">
        <v>62.31</v>
      </c>
      <c r="E225" s="46">
        <v>12.36</v>
      </c>
      <c r="F225" s="46">
        <v>62.51</v>
      </c>
      <c r="G225" s="3"/>
      <c r="H225" s="46">
        <v>-7.14</v>
      </c>
      <c r="I225" s="46">
        <v>62.5</v>
      </c>
      <c r="K225" s="46">
        <v>-29.91</v>
      </c>
      <c r="L225" s="46">
        <v>61.91</v>
      </c>
    </row>
    <row r="226" spans="2:12">
      <c r="B226" s="46">
        <v>-49.03</v>
      </c>
      <c r="C226" s="46">
        <v>61.81</v>
      </c>
      <c r="E226" s="46">
        <v>16.18</v>
      </c>
      <c r="F226" s="46">
        <v>62.01</v>
      </c>
      <c r="G226" s="3"/>
      <c r="H226" s="46">
        <v>-1.51</v>
      </c>
      <c r="I226" s="46">
        <v>62</v>
      </c>
      <c r="K226" s="46">
        <v>-25.06</v>
      </c>
      <c r="L226" s="46">
        <v>61.41</v>
      </c>
    </row>
    <row r="227" spans="2:12">
      <c r="B227" s="46">
        <v>-44.55</v>
      </c>
      <c r="C227" s="46">
        <v>61.31</v>
      </c>
      <c r="E227" s="46">
        <v>19.920000000000002</v>
      </c>
      <c r="F227" s="46">
        <v>61.51</v>
      </c>
      <c r="G227" s="3"/>
      <c r="H227" s="46">
        <v>3.73</v>
      </c>
      <c r="I227" s="46">
        <v>61.5</v>
      </c>
      <c r="K227" s="46">
        <v>-19.96</v>
      </c>
      <c r="L227" s="46">
        <v>60.91</v>
      </c>
    </row>
    <row r="228" spans="2:12">
      <c r="B228" s="46">
        <v>-40.47</v>
      </c>
      <c r="C228" s="46">
        <v>60.81</v>
      </c>
      <c r="E228" s="46">
        <v>22.86</v>
      </c>
      <c r="F228" s="46">
        <v>61.01</v>
      </c>
      <c r="G228" s="3"/>
      <c r="H228" s="46">
        <v>8.5</v>
      </c>
      <c r="I228" s="46">
        <v>61</v>
      </c>
      <c r="K228" s="46">
        <v>-14.82</v>
      </c>
      <c r="L228" s="46">
        <v>60.41</v>
      </c>
    </row>
    <row r="229" spans="2:12">
      <c r="B229" s="46">
        <v>-36.49</v>
      </c>
      <c r="C229" s="46">
        <v>60.31</v>
      </c>
      <c r="E229" s="46">
        <v>25.81</v>
      </c>
      <c r="F229" s="46">
        <v>60.51</v>
      </c>
      <c r="G229" s="3"/>
      <c r="H229" s="46">
        <v>13.07</v>
      </c>
      <c r="I229" s="46">
        <v>60.5</v>
      </c>
      <c r="K229" s="46">
        <v>-10.029999999999999</v>
      </c>
      <c r="L229" s="46">
        <v>59.91</v>
      </c>
    </row>
    <row r="230" spans="2:12">
      <c r="B230" s="46">
        <v>-32.64</v>
      </c>
      <c r="C230" s="46">
        <v>59.81</v>
      </c>
      <c r="E230" s="46">
        <v>28.82</v>
      </c>
      <c r="F230" s="46">
        <v>60.01</v>
      </c>
      <c r="G230" s="3"/>
      <c r="H230" s="46">
        <v>17.27</v>
      </c>
      <c r="I230" s="46">
        <v>60</v>
      </c>
      <c r="K230" s="46">
        <v>-5.68</v>
      </c>
      <c r="L230" s="46">
        <v>59.41</v>
      </c>
    </row>
    <row r="231" spans="2:12">
      <c r="B231" s="46">
        <v>-28.88</v>
      </c>
      <c r="C231" s="46">
        <v>59.31</v>
      </c>
      <c r="E231" s="46">
        <v>31.91</v>
      </c>
      <c r="F231" s="46">
        <v>59.51</v>
      </c>
      <c r="G231" s="3"/>
      <c r="H231" s="46">
        <v>20.93</v>
      </c>
      <c r="I231" s="46">
        <v>59.5</v>
      </c>
      <c r="K231" s="46">
        <v>-2.0099999999999998</v>
      </c>
      <c r="L231" s="46">
        <v>58.91</v>
      </c>
    </row>
    <row r="232" spans="2:12">
      <c r="B232" s="46">
        <v>-25.13</v>
      </c>
      <c r="C232" s="46">
        <v>58.81</v>
      </c>
      <c r="E232" s="46">
        <v>34.56</v>
      </c>
      <c r="F232" s="46">
        <v>59.01</v>
      </c>
      <c r="G232" s="3"/>
      <c r="H232" s="46">
        <v>24.13</v>
      </c>
      <c r="I232" s="46">
        <v>59</v>
      </c>
      <c r="K232" s="46">
        <v>1.18</v>
      </c>
      <c r="L232" s="46">
        <v>58.41</v>
      </c>
    </row>
    <row r="233" spans="2:12">
      <c r="B233" s="46">
        <v>-21.54</v>
      </c>
      <c r="C233" s="46">
        <v>58.31</v>
      </c>
      <c r="E233" s="46">
        <v>36.49</v>
      </c>
      <c r="F233" s="46">
        <v>58.51</v>
      </c>
      <c r="G233" s="3"/>
      <c r="H233" s="46">
        <v>26.97</v>
      </c>
      <c r="I233" s="46">
        <v>58.5</v>
      </c>
      <c r="K233" s="46">
        <v>3.63</v>
      </c>
      <c r="L233" s="46">
        <v>57.91</v>
      </c>
    </row>
    <row r="234" spans="2:12">
      <c r="B234" s="46">
        <v>-18.52</v>
      </c>
      <c r="C234" s="46">
        <v>57.81</v>
      </c>
      <c r="E234" s="46">
        <v>38.11</v>
      </c>
      <c r="F234" s="46">
        <v>58.01</v>
      </c>
      <c r="G234" s="3"/>
      <c r="H234" s="46">
        <v>29.45</v>
      </c>
      <c r="I234" s="46">
        <v>58</v>
      </c>
      <c r="K234" s="46">
        <v>5.91</v>
      </c>
      <c r="L234" s="46">
        <v>57.41</v>
      </c>
    </row>
    <row r="235" spans="2:12">
      <c r="B235" s="46">
        <v>-15.83</v>
      </c>
      <c r="C235" s="46">
        <v>57.31</v>
      </c>
      <c r="E235" s="46">
        <v>38.869999999999997</v>
      </c>
      <c r="F235" s="46">
        <v>57.51</v>
      </c>
      <c r="G235" s="3"/>
      <c r="H235" s="46">
        <v>31.62</v>
      </c>
      <c r="I235" s="46">
        <v>57.5</v>
      </c>
      <c r="K235" s="46">
        <v>7.89</v>
      </c>
      <c r="L235" s="46">
        <v>56.91</v>
      </c>
    </row>
    <row r="236" spans="2:12">
      <c r="B236" s="46">
        <v>-13.01</v>
      </c>
      <c r="C236" s="46">
        <v>56.81</v>
      </c>
      <c r="E236" s="46">
        <v>37.97</v>
      </c>
      <c r="F236" s="46">
        <v>57.01</v>
      </c>
      <c r="G236" s="3"/>
      <c r="H236" s="46">
        <v>33.6</v>
      </c>
      <c r="I236" s="46">
        <v>57</v>
      </c>
      <c r="K236" s="46">
        <v>9.27</v>
      </c>
      <c r="L236" s="46">
        <v>56.41</v>
      </c>
    </row>
    <row r="237" spans="2:12">
      <c r="B237" s="46">
        <v>-10.18</v>
      </c>
      <c r="C237" s="46">
        <v>56.31</v>
      </c>
      <c r="E237" s="46">
        <v>37.409999999999997</v>
      </c>
      <c r="F237" s="46">
        <v>56.51</v>
      </c>
      <c r="G237" s="3"/>
      <c r="H237" s="46">
        <v>35.299999999999997</v>
      </c>
      <c r="I237" s="46">
        <v>56.5</v>
      </c>
      <c r="K237" s="46">
        <v>10.41</v>
      </c>
      <c r="L237" s="46">
        <v>55.91</v>
      </c>
    </row>
    <row r="238" spans="2:12">
      <c r="B238" s="46">
        <v>-7.72</v>
      </c>
      <c r="C238" s="46">
        <v>55.81</v>
      </c>
      <c r="E238" s="46">
        <v>36.869999999999997</v>
      </c>
      <c r="F238" s="46">
        <v>56.01</v>
      </c>
      <c r="G238" s="3"/>
      <c r="H238" s="46">
        <v>36.69</v>
      </c>
      <c r="I238" s="46">
        <v>56</v>
      </c>
      <c r="K238" s="46">
        <v>11.15</v>
      </c>
      <c r="L238" s="46">
        <v>55.41</v>
      </c>
    </row>
    <row r="239" spans="2:12">
      <c r="B239" s="46">
        <v>-5.71</v>
      </c>
      <c r="C239" s="46">
        <v>55.31</v>
      </c>
      <c r="E239" s="46">
        <v>34.549999999999997</v>
      </c>
      <c r="F239" s="46">
        <v>55.51</v>
      </c>
      <c r="G239" s="3"/>
      <c r="H239" s="46">
        <v>37.659999999999997</v>
      </c>
      <c r="I239" s="46">
        <v>55.5</v>
      </c>
      <c r="K239" s="46">
        <v>11.56</v>
      </c>
      <c r="L239" s="46">
        <v>54.91</v>
      </c>
    </row>
    <row r="240" spans="2:12">
      <c r="B240" s="46">
        <v>-4.0599999999999996</v>
      </c>
      <c r="C240" s="46">
        <v>54.81</v>
      </c>
      <c r="E240" s="46">
        <v>32.14</v>
      </c>
      <c r="F240" s="46">
        <v>55.01</v>
      </c>
      <c r="G240" s="3"/>
      <c r="H240" s="46">
        <v>38.1</v>
      </c>
      <c r="I240" s="46">
        <v>55</v>
      </c>
      <c r="K240" s="46">
        <v>11.68</v>
      </c>
      <c r="L240" s="46">
        <v>54.41</v>
      </c>
    </row>
    <row r="241" spans="2:12">
      <c r="B241" s="46">
        <v>-2.4</v>
      </c>
      <c r="C241" s="46">
        <v>54.31</v>
      </c>
      <c r="E241" s="46">
        <v>30.97</v>
      </c>
      <c r="F241" s="46">
        <v>54.51</v>
      </c>
      <c r="G241" s="3"/>
      <c r="H241" s="46">
        <v>38.18</v>
      </c>
      <c r="I241" s="46">
        <v>54.5</v>
      </c>
      <c r="K241" s="46">
        <v>11.49</v>
      </c>
      <c r="L241" s="46">
        <v>53.91</v>
      </c>
    </row>
    <row r="242" spans="2:12">
      <c r="B242" s="46">
        <v>-0.79</v>
      </c>
      <c r="C242" s="46">
        <v>53.81</v>
      </c>
      <c r="E242" s="46">
        <v>31.61</v>
      </c>
      <c r="F242" s="46">
        <v>54.01</v>
      </c>
      <c r="G242" s="3"/>
      <c r="H242" s="46">
        <v>37.79</v>
      </c>
      <c r="I242" s="46">
        <v>54</v>
      </c>
      <c r="K242" s="46">
        <v>10.45</v>
      </c>
      <c r="L242" s="46">
        <v>53.41</v>
      </c>
    </row>
    <row r="243" spans="2:12">
      <c r="B243" s="46">
        <v>0.56999999999999995</v>
      </c>
      <c r="C243" s="46">
        <v>53.31</v>
      </c>
      <c r="E243" s="46">
        <v>33.119999999999997</v>
      </c>
      <c r="F243" s="46">
        <v>53.51</v>
      </c>
      <c r="G243" s="3"/>
      <c r="H243" s="46">
        <v>37.26</v>
      </c>
      <c r="I243" s="46">
        <v>53.5</v>
      </c>
      <c r="K243" s="46">
        <v>8.94</v>
      </c>
      <c r="L243" s="46">
        <v>52.91</v>
      </c>
    </row>
    <row r="244" spans="2:12">
      <c r="B244" s="46">
        <v>1.77</v>
      </c>
      <c r="C244" s="46">
        <v>52.81</v>
      </c>
      <c r="E244" s="46">
        <v>34.54</v>
      </c>
      <c r="F244" s="46">
        <v>53.01</v>
      </c>
      <c r="G244" s="3"/>
      <c r="H244" s="46">
        <v>36.479999999999997</v>
      </c>
      <c r="I244" s="46">
        <v>53</v>
      </c>
      <c r="K244" s="46">
        <v>7.6</v>
      </c>
      <c r="L244" s="46">
        <v>52.41</v>
      </c>
    </row>
    <row r="245" spans="2:12">
      <c r="B245" s="46">
        <v>2.64</v>
      </c>
      <c r="C245" s="46">
        <v>52.31</v>
      </c>
      <c r="E245" s="46">
        <v>33.42</v>
      </c>
      <c r="F245" s="46">
        <v>52.51</v>
      </c>
      <c r="G245" s="3"/>
      <c r="H245" s="46">
        <v>35.770000000000003</v>
      </c>
      <c r="I245" s="46">
        <v>52.5</v>
      </c>
      <c r="K245" s="46">
        <v>6.25</v>
      </c>
      <c r="L245" s="46">
        <v>51.91</v>
      </c>
    </row>
    <row r="246" spans="2:12">
      <c r="B246" s="46">
        <v>3.39</v>
      </c>
      <c r="C246" s="46">
        <v>51.81</v>
      </c>
      <c r="E246" s="46">
        <v>29.53</v>
      </c>
      <c r="F246" s="46">
        <v>52.01</v>
      </c>
      <c r="G246" s="3"/>
      <c r="H246" s="46">
        <v>34.79</v>
      </c>
      <c r="I246" s="46">
        <v>52</v>
      </c>
      <c r="K246" s="46">
        <v>4.67</v>
      </c>
      <c r="L246" s="46">
        <v>51.41</v>
      </c>
    </row>
    <row r="247" spans="2:12">
      <c r="B247" s="46">
        <v>4.16</v>
      </c>
      <c r="C247" s="46">
        <v>51.31</v>
      </c>
      <c r="E247" s="46">
        <v>24.71</v>
      </c>
      <c r="F247" s="46">
        <v>51.51</v>
      </c>
      <c r="G247" s="3"/>
      <c r="H247" s="46">
        <v>33.380000000000003</v>
      </c>
      <c r="I247" s="46">
        <v>51.5</v>
      </c>
      <c r="K247" s="46">
        <v>2.98</v>
      </c>
      <c r="L247" s="46">
        <v>50.91</v>
      </c>
    </row>
    <row r="248" spans="2:12">
      <c r="B248" s="46">
        <v>5.84</v>
      </c>
      <c r="C248" s="46">
        <v>50.81</v>
      </c>
      <c r="E248" s="46">
        <v>21.29</v>
      </c>
      <c r="F248" s="46">
        <v>51.01</v>
      </c>
      <c r="G248" s="3"/>
      <c r="H248" s="46">
        <v>31.86</v>
      </c>
      <c r="I248" s="46">
        <v>51</v>
      </c>
      <c r="K248" s="46">
        <v>1.45</v>
      </c>
      <c r="L248" s="46">
        <v>50.41</v>
      </c>
    </row>
    <row r="249" spans="2:12">
      <c r="B249" s="46">
        <v>8.34</v>
      </c>
      <c r="C249" s="46">
        <v>50.31</v>
      </c>
      <c r="E249" s="46">
        <v>19.29</v>
      </c>
      <c r="F249" s="46">
        <v>50.51</v>
      </c>
      <c r="G249" s="3"/>
      <c r="H249" s="46">
        <v>30.23</v>
      </c>
      <c r="I249" s="46">
        <v>50.5</v>
      </c>
      <c r="K249" s="46">
        <v>0</v>
      </c>
      <c r="L249" s="46">
        <v>49.91</v>
      </c>
    </row>
    <row r="250" spans="2:12">
      <c r="B250" s="62">
        <v>7.7</v>
      </c>
      <c r="C250" s="62">
        <v>50</v>
      </c>
      <c r="E250" s="46">
        <v>17.809999999999999</v>
      </c>
      <c r="F250" s="46">
        <v>50.01</v>
      </c>
      <c r="G250" s="3"/>
      <c r="H250" s="46">
        <v>28.66</v>
      </c>
      <c r="I250" s="46">
        <v>50</v>
      </c>
    </row>
    <row r="251" spans="2:12">
      <c r="B251" s="46">
        <v>4.43</v>
      </c>
      <c r="C251" s="46">
        <v>49.31</v>
      </c>
      <c r="E251" s="46">
        <v>15.83</v>
      </c>
      <c r="F251" s="46">
        <v>49.51</v>
      </c>
      <c r="G251" s="3"/>
      <c r="H251" s="46">
        <v>27.15</v>
      </c>
      <c r="I251" s="46">
        <v>49.5</v>
      </c>
    </row>
    <row r="252" spans="2:12">
      <c r="B252" s="46">
        <v>3.35</v>
      </c>
      <c r="C252" s="46">
        <v>48.81</v>
      </c>
      <c r="E252" s="46">
        <v>14.43</v>
      </c>
      <c r="F252" s="46">
        <v>49.01</v>
      </c>
      <c r="G252" s="3"/>
      <c r="H252" s="46">
        <v>26.09</v>
      </c>
      <c r="I252" s="46">
        <v>49</v>
      </c>
    </row>
    <row r="253" spans="2:12">
      <c r="B253" s="46">
        <v>3.15</v>
      </c>
      <c r="C253" s="46">
        <v>48.31</v>
      </c>
      <c r="E253" s="46">
        <v>13.59</v>
      </c>
      <c r="F253" s="46">
        <v>48.51</v>
      </c>
      <c r="G253" s="3"/>
      <c r="H253" s="46">
        <v>25.01</v>
      </c>
      <c r="I253" s="46">
        <v>48.5</v>
      </c>
    </row>
    <row r="254" spans="2:12">
      <c r="B254" s="46">
        <v>2.97</v>
      </c>
      <c r="C254" s="46">
        <v>47.81</v>
      </c>
      <c r="E254" s="46">
        <v>12.32</v>
      </c>
      <c r="F254" s="46">
        <v>48.01</v>
      </c>
      <c r="G254" s="3"/>
      <c r="H254" s="46">
        <v>23.81</v>
      </c>
      <c r="I254" s="46">
        <v>48</v>
      </c>
    </row>
    <row r="255" spans="2:12">
      <c r="B255" s="46">
        <v>2.76</v>
      </c>
      <c r="C255" s="46">
        <v>47.31</v>
      </c>
      <c r="E255" s="46">
        <v>9.3800000000000008</v>
      </c>
      <c r="F255" s="46">
        <v>47.51</v>
      </c>
      <c r="G255" s="3"/>
      <c r="H255" s="46">
        <v>21.83</v>
      </c>
      <c r="I255" s="46">
        <v>47.5</v>
      </c>
    </row>
    <row r="256" spans="2:12">
      <c r="B256" s="46">
        <v>2.21</v>
      </c>
      <c r="C256" s="46">
        <v>46.81</v>
      </c>
      <c r="E256" s="46">
        <v>5.35</v>
      </c>
      <c r="F256" s="46">
        <v>47.01</v>
      </c>
      <c r="G256" s="3"/>
      <c r="H256" s="46">
        <v>19.86</v>
      </c>
      <c r="I256" s="46">
        <v>47</v>
      </c>
    </row>
    <row r="257" spans="2:9">
      <c r="B257" s="46">
        <v>1.44</v>
      </c>
      <c r="C257" s="46">
        <v>46.31</v>
      </c>
      <c r="E257" s="46">
        <v>4.22</v>
      </c>
      <c r="F257" s="46">
        <v>46.51</v>
      </c>
      <c r="G257" s="3"/>
      <c r="H257" s="46">
        <v>18.75</v>
      </c>
      <c r="I257" s="46">
        <v>46.5</v>
      </c>
    </row>
    <row r="258" spans="2:9">
      <c r="B258" s="46">
        <v>0.92</v>
      </c>
      <c r="C258" s="46">
        <v>45.81</v>
      </c>
      <c r="E258" s="46">
        <v>6.51</v>
      </c>
      <c r="F258" s="46">
        <v>46.01</v>
      </c>
      <c r="G258" s="3"/>
      <c r="H258" s="46">
        <v>18.2</v>
      </c>
      <c r="I258" s="46">
        <v>46</v>
      </c>
    </row>
    <row r="259" spans="2:9">
      <c r="B259" s="46">
        <v>0.63</v>
      </c>
      <c r="C259" s="46">
        <v>45.31</v>
      </c>
      <c r="E259" s="46">
        <v>8.09</v>
      </c>
      <c r="F259" s="46">
        <v>45.51</v>
      </c>
      <c r="G259" s="3"/>
      <c r="H259" s="46">
        <v>17.170000000000002</v>
      </c>
      <c r="I259" s="46">
        <v>45.5</v>
      </c>
    </row>
    <row r="260" spans="2:9">
      <c r="B260" s="46">
        <v>0.61</v>
      </c>
      <c r="C260" s="46">
        <v>44.81</v>
      </c>
      <c r="E260" s="46">
        <v>7.28</v>
      </c>
      <c r="F260" s="46">
        <v>45.01</v>
      </c>
      <c r="G260" s="3"/>
      <c r="H260" s="46">
        <v>15.01</v>
      </c>
      <c r="I260" s="46">
        <v>45</v>
      </c>
    </row>
    <row r="261" spans="2:9">
      <c r="B261" s="46">
        <v>0.5</v>
      </c>
      <c r="C261" s="46">
        <v>44.31</v>
      </c>
      <c r="E261" s="46">
        <v>5.39</v>
      </c>
      <c r="F261" s="46">
        <v>44.51</v>
      </c>
      <c r="G261" s="3"/>
      <c r="H261" s="46">
        <v>11.98</v>
      </c>
      <c r="I261" s="46">
        <v>44.5</v>
      </c>
    </row>
    <row r="262" spans="2:9">
      <c r="B262" s="46">
        <v>0</v>
      </c>
      <c r="C262" s="46">
        <v>43.81</v>
      </c>
      <c r="E262" s="46">
        <v>4.5</v>
      </c>
      <c r="F262" s="46">
        <v>44.01</v>
      </c>
      <c r="G262" s="3"/>
      <c r="H262" s="46">
        <v>9.4600000000000009</v>
      </c>
      <c r="I262" s="46">
        <v>44</v>
      </c>
    </row>
    <row r="263" spans="2:9">
      <c r="E263" s="46">
        <v>4.09</v>
      </c>
      <c r="F263" s="46">
        <v>43.51</v>
      </c>
      <c r="G263" s="3"/>
      <c r="H263" s="46">
        <v>7.14</v>
      </c>
      <c r="I263" s="46">
        <v>43.5</v>
      </c>
    </row>
    <row r="264" spans="2:9">
      <c r="E264" s="46">
        <v>3.5</v>
      </c>
      <c r="F264" s="46">
        <v>43.01</v>
      </c>
      <c r="G264" s="3"/>
      <c r="H264" s="46">
        <v>5.53</v>
      </c>
      <c r="I264" s="46">
        <v>43</v>
      </c>
    </row>
    <row r="265" spans="2:9">
      <c r="E265" s="46">
        <v>2.54</v>
      </c>
      <c r="F265" s="46">
        <v>42.51</v>
      </c>
      <c r="G265" s="3"/>
      <c r="H265" s="46">
        <v>3.88</v>
      </c>
      <c r="I265" s="46">
        <v>42.5</v>
      </c>
    </row>
    <row r="266" spans="2:9">
      <c r="E266" s="46">
        <v>1.37</v>
      </c>
      <c r="F266" s="46">
        <v>42.01</v>
      </c>
      <c r="G266" s="3"/>
      <c r="H266" s="46">
        <v>2.2000000000000002</v>
      </c>
      <c r="I266" s="46">
        <v>42</v>
      </c>
    </row>
    <row r="267" spans="2:9">
      <c r="E267" s="46">
        <v>0</v>
      </c>
      <c r="F267" s="46">
        <v>41.51</v>
      </c>
      <c r="G267" s="3"/>
      <c r="H267" s="46">
        <v>0</v>
      </c>
      <c r="I267" s="46">
        <v>41.5</v>
      </c>
    </row>
    <row r="268" spans="2:9">
      <c r="G268" s="3"/>
    </row>
    <row r="269" spans="2:9">
      <c r="G269" s="3"/>
    </row>
    <row r="270" spans="2:9">
      <c r="B270" s="63" t="s">
        <v>141</v>
      </c>
      <c r="G270" s="3"/>
    </row>
    <row r="271" spans="2:9">
      <c r="B271" s="65"/>
      <c r="G271" s="3"/>
    </row>
    <row r="272" spans="2:9">
      <c r="B272" s="46" t="s">
        <v>136</v>
      </c>
      <c r="G272" s="3"/>
    </row>
    <row r="273" spans="2:7">
      <c r="B273" s="46" t="s">
        <v>125</v>
      </c>
      <c r="C273" s="46" t="s">
        <v>140</v>
      </c>
      <c r="G273" s="3"/>
    </row>
    <row r="274" spans="2:7">
      <c r="B274" s="46" t="s">
        <v>138</v>
      </c>
      <c r="C274" s="56">
        <v>41168</v>
      </c>
      <c r="G274" s="3"/>
    </row>
    <row r="275" spans="2:7" ht="25.5">
      <c r="B275" s="60" t="s">
        <v>123</v>
      </c>
      <c r="C275" s="46">
        <v>46.435000000000002</v>
      </c>
      <c r="G275" s="3"/>
    </row>
    <row r="276" spans="2:7" ht="25.5">
      <c r="B276" s="60" t="s">
        <v>124</v>
      </c>
      <c r="C276" s="46">
        <f>C403</f>
        <v>41.5</v>
      </c>
      <c r="G276" s="3"/>
    </row>
    <row r="277" spans="2:7" ht="6.75" customHeight="1">
      <c r="B277" s="58"/>
      <c r="C277" s="58"/>
      <c r="G277" s="3"/>
    </row>
    <row r="278" spans="2:7" ht="25.5">
      <c r="B278" s="60" t="s">
        <v>121</v>
      </c>
      <c r="C278" s="60" t="s">
        <v>122</v>
      </c>
      <c r="G278" s="3"/>
    </row>
    <row r="279" spans="2:7" ht="8.25" customHeight="1">
      <c r="G279" s="3"/>
    </row>
    <row r="280" spans="2:7">
      <c r="B280" s="46">
        <v>-502.72</v>
      </c>
      <c r="C280" s="49">
        <v>103</v>
      </c>
      <c r="G280" s="3"/>
    </row>
    <row r="281" spans="2:7">
      <c r="B281" s="46">
        <v>-503.17</v>
      </c>
      <c r="C281" s="46">
        <v>102.5</v>
      </c>
      <c r="G281" s="3"/>
    </row>
    <row r="282" spans="2:7">
      <c r="B282" s="46">
        <v>-503.48</v>
      </c>
      <c r="C282" s="46">
        <v>102</v>
      </c>
      <c r="G282" s="3"/>
    </row>
    <row r="283" spans="2:7">
      <c r="B283" s="46">
        <v>-503.78</v>
      </c>
      <c r="C283" s="46">
        <v>101.5</v>
      </c>
      <c r="G283" s="3"/>
    </row>
    <row r="284" spans="2:7">
      <c r="B284" s="46">
        <v>-503.78</v>
      </c>
      <c r="C284" s="46">
        <v>101</v>
      </c>
      <c r="G284" s="3"/>
    </row>
    <row r="285" spans="2:7">
      <c r="B285" s="46">
        <v>-503.49</v>
      </c>
      <c r="C285" s="46">
        <v>100.5</v>
      </c>
      <c r="G285" s="3"/>
    </row>
    <row r="286" spans="2:7">
      <c r="B286" s="46">
        <v>-502.95</v>
      </c>
      <c r="C286" s="46">
        <v>100</v>
      </c>
      <c r="G286" s="3"/>
    </row>
    <row r="287" spans="2:7">
      <c r="B287" s="46">
        <v>-502.19</v>
      </c>
      <c r="C287" s="46">
        <v>99.5</v>
      </c>
      <c r="G287" s="3"/>
    </row>
    <row r="288" spans="2:7">
      <c r="B288" s="46">
        <v>-501.49</v>
      </c>
      <c r="C288" s="46">
        <v>99</v>
      </c>
      <c r="G288" s="3"/>
    </row>
    <row r="289" spans="2:7">
      <c r="B289" s="46">
        <v>-500.14</v>
      </c>
      <c r="C289" s="46">
        <v>98.5</v>
      </c>
      <c r="G289" s="3"/>
    </row>
    <row r="290" spans="2:7">
      <c r="B290" s="46">
        <v>-498.29</v>
      </c>
      <c r="C290" s="46">
        <v>98</v>
      </c>
      <c r="G290" s="3"/>
    </row>
    <row r="291" spans="2:7">
      <c r="B291" s="46">
        <v>-496.4</v>
      </c>
      <c r="C291" s="46">
        <v>97.5</v>
      </c>
      <c r="G291" s="3"/>
    </row>
    <row r="292" spans="2:7">
      <c r="B292" s="46">
        <v>-493.73</v>
      </c>
      <c r="C292" s="46">
        <v>97</v>
      </c>
      <c r="G292" s="3"/>
    </row>
    <row r="293" spans="2:7">
      <c r="B293" s="46">
        <v>-491.28</v>
      </c>
      <c r="C293" s="46">
        <v>96.5</v>
      </c>
      <c r="G293" s="3"/>
    </row>
    <row r="294" spans="2:7">
      <c r="B294" s="46">
        <v>-488.25</v>
      </c>
      <c r="C294" s="46">
        <v>96</v>
      </c>
      <c r="G294" s="3"/>
    </row>
    <row r="295" spans="2:7">
      <c r="B295" s="46">
        <v>-485.38</v>
      </c>
      <c r="C295" s="46">
        <v>95.5</v>
      </c>
      <c r="G295" s="3"/>
    </row>
    <row r="296" spans="2:7">
      <c r="B296" s="46">
        <v>-482.29</v>
      </c>
      <c r="C296" s="46">
        <v>95</v>
      </c>
      <c r="G296" s="3"/>
    </row>
    <row r="297" spans="2:7">
      <c r="B297" s="46">
        <v>-478.93</v>
      </c>
      <c r="C297" s="46">
        <v>94.5</v>
      </c>
      <c r="G297" s="3"/>
    </row>
    <row r="298" spans="2:7">
      <c r="B298" s="46">
        <v>-475.13</v>
      </c>
      <c r="C298" s="46">
        <v>94</v>
      </c>
      <c r="G298" s="3"/>
    </row>
    <row r="299" spans="2:7">
      <c r="B299" s="46">
        <v>-470.51</v>
      </c>
      <c r="C299" s="46">
        <v>93.5</v>
      </c>
      <c r="G299" s="3"/>
    </row>
    <row r="300" spans="2:7">
      <c r="B300" s="46">
        <v>-466.3</v>
      </c>
      <c r="C300" s="46">
        <v>93</v>
      </c>
      <c r="G300" s="3"/>
    </row>
    <row r="301" spans="2:7">
      <c r="B301" s="46">
        <v>-461.73</v>
      </c>
      <c r="C301" s="46">
        <v>92.5</v>
      </c>
      <c r="G301" s="3"/>
    </row>
    <row r="302" spans="2:7">
      <c r="B302" s="46">
        <v>-456.79</v>
      </c>
      <c r="C302" s="46">
        <v>92</v>
      </c>
      <c r="G302" s="3"/>
    </row>
    <row r="303" spans="2:7">
      <c r="B303" s="46">
        <v>-452.36</v>
      </c>
      <c r="C303" s="46">
        <v>91.5</v>
      </c>
      <c r="G303" s="3"/>
    </row>
    <row r="304" spans="2:7">
      <c r="B304" s="46">
        <v>-446.83</v>
      </c>
      <c r="C304" s="46">
        <v>91</v>
      </c>
      <c r="G304" s="3"/>
    </row>
    <row r="305" spans="2:7">
      <c r="B305" s="46">
        <v>-441.54</v>
      </c>
      <c r="C305" s="46">
        <v>90.5</v>
      </c>
      <c r="G305" s="3"/>
    </row>
    <row r="306" spans="2:7">
      <c r="B306" s="46">
        <v>-435.51</v>
      </c>
      <c r="C306" s="46">
        <v>90</v>
      </c>
      <c r="G306" s="3"/>
    </row>
    <row r="307" spans="2:7">
      <c r="B307" s="46">
        <v>-429.75</v>
      </c>
      <c r="C307" s="46">
        <v>89.5</v>
      </c>
      <c r="G307" s="3"/>
    </row>
    <row r="308" spans="2:7">
      <c r="B308" s="46">
        <v>-424.44</v>
      </c>
      <c r="C308" s="46">
        <v>89</v>
      </c>
      <c r="G308" s="3"/>
    </row>
    <row r="309" spans="2:7">
      <c r="B309" s="46">
        <v>-418.41</v>
      </c>
      <c r="C309" s="46">
        <v>88.5</v>
      </c>
      <c r="G309" s="3"/>
    </row>
    <row r="310" spans="2:7">
      <c r="B310" s="46">
        <v>-411.99</v>
      </c>
      <c r="C310" s="46">
        <v>88</v>
      </c>
      <c r="G310" s="3"/>
    </row>
    <row r="311" spans="2:7">
      <c r="B311" s="46">
        <v>-405.43</v>
      </c>
      <c r="C311" s="46">
        <v>87.5</v>
      </c>
      <c r="G311" s="3"/>
    </row>
    <row r="312" spans="2:7">
      <c r="B312" s="46">
        <v>-398.44</v>
      </c>
      <c r="C312" s="46">
        <v>87</v>
      </c>
      <c r="G312" s="3"/>
    </row>
    <row r="313" spans="2:7">
      <c r="B313" s="46">
        <v>-391.65</v>
      </c>
      <c r="C313" s="46">
        <v>86.5</v>
      </c>
      <c r="G313" s="3"/>
    </row>
    <row r="314" spans="2:7">
      <c r="B314" s="46">
        <v>-384.9</v>
      </c>
      <c r="C314" s="46">
        <v>86</v>
      </c>
      <c r="G314" s="3"/>
    </row>
    <row r="315" spans="2:7">
      <c r="B315" s="46">
        <v>-377.81</v>
      </c>
      <c r="C315" s="46">
        <v>85.5</v>
      </c>
      <c r="G315" s="3"/>
    </row>
    <row r="316" spans="2:7">
      <c r="B316" s="46">
        <v>-370.53</v>
      </c>
      <c r="C316" s="46">
        <v>85</v>
      </c>
      <c r="G316" s="3"/>
    </row>
    <row r="317" spans="2:7">
      <c r="B317" s="46">
        <v>-363.09</v>
      </c>
      <c r="C317" s="46">
        <v>84.5</v>
      </c>
      <c r="G317" s="3"/>
    </row>
    <row r="318" spans="2:7">
      <c r="B318" s="46">
        <v>-355.46</v>
      </c>
      <c r="C318" s="46">
        <v>84</v>
      </c>
      <c r="G318" s="3"/>
    </row>
    <row r="319" spans="2:7">
      <c r="B319" s="46">
        <v>-347.69</v>
      </c>
      <c r="C319" s="46">
        <v>83.5</v>
      </c>
      <c r="G319" s="3"/>
    </row>
    <row r="320" spans="2:7">
      <c r="B320" s="46">
        <v>-339.94</v>
      </c>
      <c r="C320" s="46">
        <v>83</v>
      </c>
      <c r="G320" s="3"/>
    </row>
    <row r="321" spans="2:7">
      <c r="B321" s="46">
        <v>-332.28</v>
      </c>
      <c r="C321" s="46">
        <v>82.5</v>
      </c>
      <c r="G321" s="3"/>
    </row>
    <row r="322" spans="2:7">
      <c r="B322" s="46">
        <v>-324.32</v>
      </c>
      <c r="C322" s="46">
        <v>82</v>
      </c>
      <c r="G322" s="3"/>
    </row>
    <row r="323" spans="2:7">
      <c r="B323" s="46">
        <v>-316.12</v>
      </c>
      <c r="C323" s="46">
        <v>81.5</v>
      </c>
      <c r="G323" s="3"/>
    </row>
    <row r="324" spans="2:7">
      <c r="B324" s="46">
        <v>-307.95</v>
      </c>
      <c r="C324" s="46">
        <v>81</v>
      </c>
      <c r="G324" s="3"/>
    </row>
    <row r="325" spans="2:7">
      <c r="B325" s="46">
        <v>-299.58999999999997</v>
      </c>
      <c r="C325" s="46">
        <v>80.5</v>
      </c>
      <c r="G325" s="3"/>
    </row>
    <row r="326" spans="2:7">
      <c r="B326" s="46">
        <v>-291.13</v>
      </c>
      <c r="C326" s="46">
        <v>80</v>
      </c>
      <c r="G326" s="3"/>
    </row>
    <row r="327" spans="2:7">
      <c r="B327" s="46">
        <v>-283.05</v>
      </c>
      <c r="C327" s="46">
        <v>79.5</v>
      </c>
      <c r="G327" s="3"/>
    </row>
    <row r="328" spans="2:7">
      <c r="B328" s="46">
        <v>-275.02999999999997</v>
      </c>
      <c r="C328" s="46">
        <v>79</v>
      </c>
      <c r="G328" s="3"/>
    </row>
    <row r="329" spans="2:7">
      <c r="B329" s="46">
        <v>-266.72000000000003</v>
      </c>
      <c r="C329" s="46">
        <v>78.5</v>
      </c>
      <c r="G329" s="3"/>
    </row>
    <row r="330" spans="2:7">
      <c r="B330" s="46">
        <v>-258.36</v>
      </c>
      <c r="C330" s="46">
        <v>78</v>
      </c>
      <c r="G330" s="3"/>
    </row>
    <row r="331" spans="2:7">
      <c r="B331" s="46">
        <v>-249.61</v>
      </c>
      <c r="C331" s="46">
        <v>77.5</v>
      </c>
      <c r="G331" s="3"/>
    </row>
    <row r="332" spans="2:7">
      <c r="B332" s="46">
        <v>-240.77</v>
      </c>
      <c r="C332" s="46">
        <v>77</v>
      </c>
      <c r="G332" s="3"/>
    </row>
    <row r="333" spans="2:7">
      <c r="B333" s="46">
        <v>-231.98</v>
      </c>
      <c r="C333" s="46">
        <v>76.5</v>
      </c>
      <c r="G333" s="3"/>
    </row>
    <row r="334" spans="2:7">
      <c r="B334" s="46">
        <v>-223.28</v>
      </c>
      <c r="C334" s="46">
        <v>76</v>
      </c>
      <c r="G334" s="3"/>
    </row>
    <row r="335" spans="2:7">
      <c r="B335" s="46">
        <v>-214.24</v>
      </c>
      <c r="C335" s="46">
        <v>75.5</v>
      </c>
      <c r="G335" s="3"/>
    </row>
    <row r="336" spans="2:7">
      <c r="B336" s="46">
        <v>-205.2</v>
      </c>
      <c r="C336" s="46">
        <v>75</v>
      </c>
      <c r="G336" s="3"/>
    </row>
    <row r="337" spans="2:7">
      <c r="B337" s="46">
        <v>-196.42</v>
      </c>
      <c r="C337" s="46">
        <v>74.5</v>
      </c>
      <c r="G337" s="3"/>
    </row>
    <row r="338" spans="2:7">
      <c r="B338" s="46">
        <v>-187.9</v>
      </c>
      <c r="C338" s="46">
        <v>74</v>
      </c>
      <c r="G338" s="3"/>
    </row>
    <row r="339" spans="2:7">
      <c r="B339" s="46">
        <v>-179.31</v>
      </c>
      <c r="C339" s="46">
        <v>73.5</v>
      </c>
      <c r="G339" s="3"/>
    </row>
    <row r="340" spans="2:7">
      <c r="B340" s="46">
        <v>-170.16</v>
      </c>
      <c r="C340" s="46">
        <v>73</v>
      </c>
      <c r="G340" s="3"/>
    </row>
    <row r="341" spans="2:7">
      <c r="B341" s="46">
        <v>-161.27000000000001</v>
      </c>
      <c r="C341" s="46">
        <v>72.5</v>
      </c>
      <c r="G341" s="3"/>
    </row>
    <row r="342" spans="2:7">
      <c r="B342" s="46">
        <v>-152.25</v>
      </c>
      <c r="C342" s="46">
        <v>72</v>
      </c>
      <c r="G342" s="3"/>
    </row>
    <row r="343" spans="2:7">
      <c r="B343" s="46">
        <v>-143.44999999999999</v>
      </c>
      <c r="C343" s="46">
        <v>71.5</v>
      </c>
      <c r="G343" s="3"/>
    </row>
    <row r="344" spans="2:7">
      <c r="B344" s="46">
        <v>-134.72999999999999</v>
      </c>
      <c r="C344" s="46">
        <v>71</v>
      </c>
      <c r="G344" s="3"/>
    </row>
    <row r="345" spans="2:7">
      <c r="B345" s="46">
        <v>-125.93</v>
      </c>
      <c r="C345" s="46">
        <v>70.5</v>
      </c>
      <c r="G345" s="3"/>
    </row>
    <row r="346" spans="2:7">
      <c r="B346" s="46">
        <v>-117.23</v>
      </c>
      <c r="C346" s="46">
        <v>70</v>
      </c>
      <c r="G346" s="3"/>
    </row>
    <row r="347" spans="2:7">
      <c r="B347" s="46">
        <v>-108.73</v>
      </c>
      <c r="C347" s="46">
        <v>69.5</v>
      </c>
      <c r="G347" s="3"/>
    </row>
    <row r="348" spans="2:7">
      <c r="B348" s="46">
        <v>-100.62</v>
      </c>
      <c r="C348" s="46">
        <v>69</v>
      </c>
      <c r="G348" s="3"/>
    </row>
    <row r="349" spans="2:7">
      <c r="B349" s="46">
        <v>-92.25</v>
      </c>
      <c r="C349" s="46">
        <v>68.5</v>
      </c>
    </row>
    <row r="350" spans="2:7">
      <c r="B350" s="46">
        <v>-83.98</v>
      </c>
      <c r="C350" s="46">
        <v>68</v>
      </c>
    </row>
    <row r="351" spans="2:7">
      <c r="B351" s="46">
        <v>-76.010000000000005</v>
      </c>
      <c r="C351" s="46">
        <v>67.5</v>
      </c>
    </row>
    <row r="352" spans="2:7">
      <c r="B352" s="46">
        <v>-68.040000000000006</v>
      </c>
      <c r="C352" s="46">
        <v>67</v>
      </c>
    </row>
    <row r="353" spans="2:3">
      <c r="B353" s="46">
        <v>-60.24</v>
      </c>
      <c r="C353" s="46">
        <v>66.5</v>
      </c>
    </row>
    <row r="354" spans="2:3">
      <c r="B354" s="46">
        <v>-52.89</v>
      </c>
      <c r="C354" s="46">
        <v>66</v>
      </c>
    </row>
    <row r="355" spans="2:3">
      <c r="B355" s="46">
        <v>-45.39</v>
      </c>
      <c r="C355" s="46">
        <v>65.5</v>
      </c>
    </row>
    <row r="356" spans="2:3">
      <c r="B356" s="46">
        <v>-38.42</v>
      </c>
      <c r="C356" s="46">
        <v>65</v>
      </c>
    </row>
    <row r="357" spans="2:3">
      <c r="B357" s="46">
        <v>-31.61</v>
      </c>
      <c r="C357" s="46">
        <v>64.5</v>
      </c>
    </row>
    <row r="358" spans="2:3">
      <c r="B358" s="46">
        <v>-25.45</v>
      </c>
      <c r="C358" s="46">
        <v>64</v>
      </c>
    </row>
    <row r="359" spans="2:3">
      <c r="B359" s="46">
        <v>-19.05</v>
      </c>
      <c r="C359" s="46">
        <v>63.5</v>
      </c>
    </row>
    <row r="360" spans="2:3">
      <c r="B360" s="46">
        <v>-12.85</v>
      </c>
      <c r="C360" s="46">
        <v>63</v>
      </c>
    </row>
    <row r="361" spans="2:3">
      <c r="B361" s="46">
        <v>-7.14</v>
      </c>
      <c r="C361" s="46">
        <v>62.5</v>
      </c>
    </row>
    <row r="362" spans="2:3">
      <c r="B362" s="46">
        <v>-1.51</v>
      </c>
      <c r="C362" s="46">
        <v>62</v>
      </c>
    </row>
    <row r="363" spans="2:3">
      <c r="B363" s="46">
        <v>3.73</v>
      </c>
      <c r="C363" s="46">
        <v>61.5</v>
      </c>
    </row>
    <row r="364" spans="2:3">
      <c r="B364" s="46">
        <v>8.5</v>
      </c>
      <c r="C364" s="46">
        <v>61</v>
      </c>
    </row>
    <row r="365" spans="2:3">
      <c r="B365" s="46">
        <v>13.07</v>
      </c>
      <c r="C365" s="46">
        <v>60.5</v>
      </c>
    </row>
    <row r="366" spans="2:3">
      <c r="B366" s="46">
        <v>17.27</v>
      </c>
      <c r="C366" s="46">
        <v>60</v>
      </c>
    </row>
    <row r="367" spans="2:3">
      <c r="B367" s="46">
        <v>20.93</v>
      </c>
      <c r="C367" s="46">
        <v>59.5</v>
      </c>
    </row>
    <row r="368" spans="2:3">
      <c r="B368" s="46">
        <v>24.13</v>
      </c>
      <c r="C368" s="46">
        <v>59</v>
      </c>
    </row>
    <row r="369" spans="2:3">
      <c r="B369" s="46">
        <v>26.97</v>
      </c>
      <c r="C369" s="46">
        <v>58.5</v>
      </c>
    </row>
    <row r="370" spans="2:3">
      <c r="B370" s="46">
        <v>29.45</v>
      </c>
      <c r="C370" s="46">
        <v>58</v>
      </c>
    </row>
    <row r="371" spans="2:3">
      <c r="B371" s="46">
        <v>31.62</v>
      </c>
      <c r="C371" s="46">
        <v>57.5</v>
      </c>
    </row>
    <row r="372" spans="2:3">
      <c r="B372" s="46">
        <v>33.6</v>
      </c>
      <c r="C372" s="46">
        <v>57</v>
      </c>
    </row>
    <row r="373" spans="2:3">
      <c r="B373" s="46">
        <v>35.299999999999997</v>
      </c>
      <c r="C373" s="46">
        <v>56.5</v>
      </c>
    </row>
    <row r="374" spans="2:3">
      <c r="B374" s="46">
        <v>36.69</v>
      </c>
      <c r="C374" s="46">
        <v>56</v>
      </c>
    </row>
    <row r="375" spans="2:3">
      <c r="B375" s="46">
        <v>37.659999999999997</v>
      </c>
      <c r="C375" s="46">
        <v>55.5</v>
      </c>
    </row>
    <row r="376" spans="2:3">
      <c r="B376" s="46">
        <v>38.1</v>
      </c>
      <c r="C376" s="46">
        <v>55</v>
      </c>
    </row>
    <row r="377" spans="2:3">
      <c r="B377" s="46">
        <v>38.18</v>
      </c>
      <c r="C377" s="46">
        <v>54.5</v>
      </c>
    </row>
    <row r="378" spans="2:3">
      <c r="B378" s="46">
        <v>37.79</v>
      </c>
      <c r="C378" s="46">
        <v>54</v>
      </c>
    </row>
    <row r="379" spans="2:3">
      <c r="B379" s="46">
        <v>37.26</v>
      </c>
      <c r="C379" s="46">
        <v>53.5</v>
      </c>
    </row>
    <row r="380" spans="2:3">
      <c r="B380" s="46">
        <v>36.479999999999997</v>
      </c>
      <c r="C380" s="46">
        <v>53</v>
      </c>
    </row>
    <row r="381" spans="2:3">
      <c r="B381" s="46">
        <v>35.770000000000003</v>
      </c>
      <c r="C381" s="46">
        <v>52.5</v>
      </c>
    </row>
    <row r="382" spans="2:3">
      <c r="B382" s="46">
        <v>34.79</v>
      </c>
      <c r="C382" s="46">
        <v>52</v>
      </c>
    </row>
    <row r="383" spans="2:3">
      <c r="B383" s="46">
        <v>33.380000000000003</v>
      </c>
      <c r="C383" s="46">
        <v>51.5</v>
      </c>
    </row>
    <row r="384" spans="2:3">
      <c r="B384" s="46">
        <v>31.86</v>
      </c>
      <c r="C384" s="46">
        <v>51</v>
      </c>
    </row>
    <row r="385" spans="2:3">
      <c r="B385" s="46">
        <v>30.23</v>
      </c>
      <c r="C385" s="46">
        <v>50.5</v>
      </c>
    </row>
    <row r="386" spans="2:3">
      <c r="B386" s="46">
        <v>28.66</v>
      </c>
      <c r="C386" s="46">
        <v>50</v>
      </c>
    </row>
    <row r="387" spans="2:3">
      <c r="B387" s="46">
        <v>27.15</v>
      </c>
      <c r="C387" s="46">
        <v>49.5</v>
      </c>
    </row>
    <row r="388" spans="2:3">
      <c r="B388" s="46">
        <v>26.09</v>
      </c>
      <c r="C388" s="46">
        <v>49</v>
      </c>
    </row>
    <row r="389" spans="2:3">
      <c r="B389" s="46">
        <v>25.01</v>
      </c>
      <c r="C389" s="46">
        <v>48.5</v>
      </c>
    </row>
    <row r="390" spans="2:3">
      <c r="B390" s="46">
        <v>23.81</v>
      </c>
      <c r="C390" s="46">
        <v>48</v>
      </c>
    </row>
    <row r="391" spans="2:3">
      <c r="B391" s="46">
        <v>21.83</v>
      </c>
      <c r="C391" s="46">
        <v>47.5</v>
      </c>
    </row>
    <row r="392" spans="2:3">
      <c r="B392" s="46">
        <v>19.86</v>
      </c>
      <c r="C392" s="46">
        <v>47</v>
      </c>
    </row>
    <row r="393" spans="2:3">
      <c r="B393" s="46">
        <v>18.75</v>
      </c>
      <c r="C393" s="46">
        <v>46.5</v>
      </c>
    </row>
    <row r="394" spans="2:3">
      <c r="B394" s="46">
        <v>18.2</v>
      </c>
      <c r="C394" s="46">
        <v>46</v>
      </c>
    </row>
    <row r="395" spans="2:3">
      <c r="B395" s="46">
        <v>17.170000000000002</v>
      </c>
      <c r="C395" s="46">
        <v>45.5</v>
      </c>
    </row>
    <row r="396" spans="2:3">
      <c r="B396" s="46">
        <v>15.01</v>
      </c>
      <c r="C396" s="46">
        <v>45</v>
      </c>
    </row>
    <row r="397" spans="2:3">
      <c r="B397" s="46">
        <v>11.98</v>
      </c>
      <c r="C397" s="46">
        <v>44.5</v>
      </c>
    </row>
    <row r="398" spans="2:3">
      <c r="B398" s="46">
        <v>9.4600000000000009</v>
      </c>
      <c r="C398" s="46">
        <v>44</v>
      </c>
    </row>
    <row r="399" spans="2:3">
      <c r="B399" s="46">
        <v>7.14</v>
      </c>
      <c r="C399" s="46">
        <v>43.5</v>
      </c>
    </row>
    <row r="400" spans="2:3">
      <c r="B400" s="46">
        <v>5.53</v>
      </c>
      <c r="C400" s="46">
        <v>43</v>
      </c>
    </row>
    <row r="401" spans="2:6">
      <c r="B401" s="46">
        <v>3.88</v>
      </c>
      <c r="C401" s="46">
        <v>42.5</v>
      </c>
    </row>
    <row r="402" spans="2:6">
      <c r="B402" s="46">
        <v>2.2000000000000002</v>
      </c>
      <c r="C402" s="46">
        <v>42</v>
      </c>
    </row>
    <row r="403" spans="2:6">
      <c r="B403" s="46">
        <v>0</v>
      </c>
      <c r="C403" s="46">
        <v>41.5</v>
      </c>
    </row>
    <row r="407" spans="2:6">
      <c r="B407" s="63" t="s">
        <v>143</v>
      </c>
    </row>
    <row r="408" spans="2:6" ht="7.5" customHeight="1">
      <c r="B408" s="65"/>
    </row>
    <row r="409" spans="2:6">
      <c r="B409" s="46" t="s">
        <v>137</v>
      </c>
      <c r="E409" s="46" t="s">
        <v>142</v>
      </c>
    </row>
    <row r="410" spans="2:6">
      <c r="B410" s="46" t="s">
        <v>125</v>
      </c>
      <c r="C410" s="46" t="s">
        <v>139</v>
      </c>
      <c r="E410" s="46" t="s">
        <v>125</v>
      </c>
      <c r="F410" s="46" t="s">
        <v>139</v>
      </c>
    </row>
    <row r="411" spans="2:6">
      <c r="B411" s="46" t="s">
        <v>138</v>
      </c>
      <c r="C411" s="56">
        <v>41520</v>
      </c>
      <c r="E411" s="46" t="s">
        <v>138</v>
      </c>
      <c r="F411" s="56"/>
    </row>
    <row r="412" spans="2:6" ht="25.5">
      <c r="B412" s="60" t="s">
        <v>123</v>
      </c>
      <c r="C412" s="46">
        <v>49.94</v>
      </c>
      <c r="E412" s="60" t="s">
        <v>123</v>
      </c>
      <c r="F412" s="46">
        <v>49.91</v>
      </c>
    </row>
    <row r="413" spans="2:6" ht="25.5">
      <c r="B413" s="60" t="s">
        <v>124</v>
      </c>
      <c r="C413" s="46">
        <f>C535</f>
        <v>43.81</v>
      </c>
      <c r="E413" s="60" t="s">
        <v>124</v>
      </c>
      <c r="F413" s="46">
        <f>F535</f>
        <v>43.81</v>
      </c>
    </row>
    <row r="414" spans="2:6" ht="9" customHeight="1">
      <c r="B414" s="58"/>
      <c r="C414" s="58"/>
      <c r="D414" s="58"/>
      <c r="E414" s="58"/>
      <c r="F414" s="58"/>
    </row>
    <row r="415" spans="2:6" ht="25.5">
      <c r="B415" s="60" t="s">
        <v>121</v>
      </c>
      <c r="C415" s="60" t="s">
        <v>122</v>
      </c>
      <c r="E415" s="60" t="s">
        <v>121</v>
      </c>
      <c r="F415" s="60" t="s">
        <v>122</v>
      </c>
    </row>
    <row r="416" spans="2:6" ht="7.5" customHeight="1"/>
    <row r="417" spans="2:6">
      <c r="B417" s="46">
        <v>-422.22</v>
      </c>
      <c r="C417" s="46">
        <v>102.81</v>
      </c>
      <c r="E417" s="46">
        <v>-325.63499999999999</v>
      </c>
      <c r="F417" s="46">
        <v>102.81</v>
      </c>
    </row>
    <row r="418" spans="2:6">
      <c r="B418" s="46">
        <v>-421.94</v>
      </c>
      <c r="C418" s="46">
        <v>102.31</v>
      </c>
      <c r="E418" s="46">
        <v>-325.625</v>
      </c>
      <c r="F418" s="46">
        <v>102.31</v>
      </c>
    </row>
    <row r="419" spans="2:6">
      <c r="B419" s="46">
        <v>-422.12</v>
      </c>
      <c r="C419" s="46">
        <v>101.81</v>
      </c>
      <c r="E419" s="46">
        <v>-326.19500000000005</v>
      </c>
      <c r="F419" s="46">
        <v>101.81</v>
      </c>
    </row>
    <row r="420" spans="2:6">
      <c r="B420" s="46">
        <v>-422.28</v>
      </c>
      <c r="C420" s="46">
        <v>101.31</v>
      </c>
      <c r="E420" s="46">
        <v>-326.34000000000003</v>
      </c>
      <c r="F420" s="46">
        <v>101.31</v>
      </c>
    </row>
    <row r="421" spans="2:6">
      <c r="B421" s="46">
        <v>-422.29</v>
      </c>
      <c r="C421" s="46">
        <v>100.81</v>
      </c>
      <c r="E421" s="46">
        <v>-326.16999999999996</v>
      </c>
      <c r="F421" s="46">
        <v>100.81</v>
      </c>
    </row>
    <row r="422" spans="2:6">
      <c r="B422" s="46">
        <v>-421.93</v>
      </c>
      <c r="C422" s="46">
        <v>100.31</v>
      </c>
      <c r="E422" s="46">
        <v>-325.87</v>
      </c>
      <c r="F422" s="46">
        <v>100.31</v>
      </c>
    </row>
    <row r="423" spans="2:6">
      <c r="B423" s="46">
        <v>-421.46</v>
      </c>
      <c r="C423" s="46">
        <v>99.81</v>
      </c>
      <c r="E423" s="46">
        <v>-325.40000000000003</v>
      </c>
      <c r="F423" s="46">
        <v>99.81</v>
      </c>
    </row>
    <row r="424" spans="2:6">
      <c r="B424" s="46">
        <v>-420.57</v>
      </c>
      <c r="C424" s="46">
        <v>99.31</v>
      </c>
      <c r="D424" s="58"/>
      <c r="E424" s="46">
        <v>-324.51</v>
      </c>
      <c r="F424" s="46">
        <v>99.31</v>
      </c>
    </row>
    <row r="425" spans="2:6">
      <c r="B425" s="46">
        <v>-419.46</v>
      </c>
      <c r="C425" s="46">
        <v>98.81</v>
      </c>
      <c r="E425" s="46">
        <v>-323.625</v>
      </c>
      <c r="F425" s="46">
        <v>98.81</v>
      </c>
    </row>
    <row r="426" spans="2:6">
      <c r="B426" s="46">
        <v>-418.31</v>
      </c>
      <c r="C426" s="46">
        <v>98.31</v>
      </c>
      <c r="E426" s="46">
        <v>-322.22000000000003</v>
      </c>
      <c r="F426" s="46">
        <v>98.31</v>
      </c>
    </row>
    <row r="427" spans="2:6">
      <c r="B427" s="46">
        <v>-416.75</v>
      </c>
      <c r="C427" s="46">
        <v>97.81</v>
      </c>
      <c r="D427" s="58"/>
      <c r="E427" s="46">
        <v>-320.76499999999999</v>
      </c>
      <c r="F427" s="46">
        <v>97.81</v>
      </c>
    </row>
    <row r="428" spans="2:6">
      <c r="B428" s="46">
        <v>-415.43</v>
      </c>
      <c r="C428" s="46">
        <v>97.31</v>
      </c>
      <c r="E428" s="46">
        <v>-319.44499999999999</v>
      </c>
      <c r="F428" s="46">
        <v>97.31</v>
      </c>
    </row>
    <row r="429" spans="2:6">
      <c r="B429" s="46">
        <v>-413.39</v>
      </c>
      <c r="C429" s="46">
        <v>96.81</v>
      </c>
      <c r="E429" s="46">
        <v>-317.76499999999999</v>
      </c>
      <c r="F429" s="46">
        <v>96.81</v>
      </c>
    </row>
    <row r="430" spans="2:6">
      <c r="B430" s="46">
        <v>-411.65</v>
      </c>
      <c r="C430" s="46">
        <v>96.31</v>
      </c>
      <c r="E430" s="46">
        <v>-316.25</v>
      </c>
      <c r="F430" s="46">
        <v>96.31</v>
      </c>
    </row>
    <row r="431" spans="2:6">
      <c r="B431" s="46">
        <v>-409.84</v>
      </c>
      <c r="C431" s="46">
        <v>95.81</v>
      </c>
      <c r="E431" s="46">
        <v>-314.56</v>
      </c>
      <c r="F431" s="46">
        <v>95.81</v>
      </c>
    </row>
    <row r="432" spans="2:6">
      <c r="B432" s="46">
        <v>-407.94</v>
      </c>
      <c r="C432" s="46">
        <v>95.31</v>
      </c>
      <c r="E432" s="46">
        <v>-312.63</v>
      </c>
      <c r="F432" s="46">
        <v>95.31</v>
      </c>
    </row>
    <row r="433" spans="2:6">
      <c r="B433" s="46">
        <v>-405.8</v>
      </c>
      <c r="C433" s="46">
        <v>94.81</v>
      </c>
      <c r="E433" s="46">
        <v>-310.89499999999998</v>
      </c>
      <c r="F433" s="46">
        <v>94.81</v>
      </c>
    </row>
    <row r="434" spans="2:6">
      <c r="B434" s="46">
        <v>-403.58</v>
      </c>
      <c r="C434" s="46">
        <v>94.31</v>
      </c>
      <c r="D434" s="66"/>
      <c r="E434" s="46">
        <v>-308.96000000000004</v>
      </c>
      <c r="F434" s="46">
        <v>94.31</v>
      </c>
    </row>
    <row r="435" spans="2:6">
      <c r="B435" s="46">
        <v>-401.25</v>
      </c>
      <c r="C435" s="46">
        <v>93.81</v>
      </c>
      <c r="E435" s="46">
        <v>-307.08000000000004</v>
      </c>
      <c r="F435" s="46">
        <v>93.81</v>
      </c>
    </row>
    <row r="436" spans="2:6">
      <c r="B436" s="46">
        <v>-398.84</v>
      </c>
      <c r="C436" s="46">
        <v>93.31</v>
      </c>
      <c r="E436" s="46">
        <v>-305.04500000000002</v>
      </c>
      <c r="F436" s="46">
        <v>93.31</v>
      </c>
    </row>
    <row r="437" spans="2:6">
      <c r="B437" s="46">
        <v>-396.19</v>
      </c>
      <c r="C437" s="46">
        <v>92.81</v>
      </c>
      <c r="E437" s="46">
        <v>-302.77000000000004</v>
      </c>
      <c r="F437" s="46">
        <v>92.81</v>
      </c>
    </row>
    <row r="438" spans="2:6">
      <c r="B438" s="46">
        <v>-393.42</v>
      </c>
      <c r="C438" s="46">
        <v>92.31</v>
      </c>
      <c r="E438" s="46">
        <v>-300.53999999999996</v>
      </c>
      <c r="F438" s="46">
        <v>92.31</v>
      </c>
    </row>
    <row r="439" spans="2:6">
      <c r="B439" s="46">
        <v>-390.61</v>
      </c>
      <c r="C439" s="46">
        <v>91.81</v>
      </c>
      <c r="E439" s="46">
        <v>-298.20999999999998</v>
      </c>
      <c r="F439" s="46">
        <v>91.81</v>
      </c>
    </row>
    <row r="440" spans="2:6">
      <c r="B440" s="46">
        <v>-387.55</v>
      </c>
      <c r="C440" s="46">
        <v>91.31</v>
      </c>
      <c r="E440" s="46">
        <v>-295.70499999999998</v>
      </c>
      <c r="F440" s="46">
        <v>91.31</v>
      </c>
    </row>
    <row r="441" spans="2:6">
      <c r="B441" s="46">
        <v>-384.64</v>
      </c>
      <c r="C441" s="46">
        <v>90.81</v>
      </c>
      <c r="E441" s="46">
        <v>-292.94499999999999</v>
      </c>
      <c r="F441" s="46">
        <v>90.81</v>
      </c>
    </row>
    <row r="442" spans="2:6">
      <c r="B442" s="46">
        <v>-381.77</v>
      </c>
      <c r="C442" s="46">
        <v>90.31</v>
      </c>
      <c r="E442" s="46">
        <v>-290.16499999999996</v>
      </c>
      <c r="F442" s="46">
        <v>90.31</v>
      </c>
    </row>
    <row r="443" spans="2:6">
      <c r="B443" s="46">
        <v>-378.65</v>
      </c>
      <c r="C443" s="46">
        <v>89.81</v>
      </c>
      <c r="E443" s="46">
        <v>-287.25500000000005</v>
      </c>
      <c r="F443" s="46">
        <v>89.81</v>
      </c>
    </row>
    <row r="444" spans="2:6">
      <c r="B444" s="46">
        <v>-375.2</v>
      </c>
      <c r="C444" s="46">
        <v>89.31</v>
      </c>
      <c r="E444" s="46">
        <v>-284.19499999999994</v>
      </c>
      <c r="F444" s="46">
        <v>89.31</v>
      </c>
    </row>
    <row r="445" spans="2:6">
      <c r="B445" s="46">
        <v>-371.48</v>
      </c>
      <c r="C445" s="46">
        <v>88.81</v>
      </c>
      <c r="E445" s="46">
        <v>-281.21000000000004</v>
      </c>
      <c r="F445" s="46">
        <v>88.81</v>
      </c>
    </row>
    <row r="446" spans="2:6">
      <c r="B446" s="46">
        <v>-367.62</v>
      </c>
      <c r="C446" s="46">
        <v>88.31</v>
      </c>
      <c r="E446" s="46">
        <v>-278.25</v>
      </c>
      <c r="F446" s="46">
        <v>88.31</v>
      </c>
    </row>
    <row r="447" spans="2:6">
      <c r="B447" s="46">
        <v>-364.14</v>
      </c>
      <c r="C447" s="46">
        <v>87.81</v>
      </c>
      <c r="E447" s="46">
        <v>-275.18999999999994</v>
      </c>
      <c r="F447" s="46">
        <v>87.81</v>
      </c>
    </row>
    <row r="448" spans="2:6">
      <c r="B448" s="46">
        <v>-360.6</v>
      </c>
      <c r="C448" s="46">
        <v>87.31</v>
      </c>
      <c r="E448" s="46">
        <v>-272.03999999999996</v>
      </c>
      <c r="F448" s="46">
        <v>87.31</v>
      </c>
    </row>
    <row r="449" spans="2:6">
      <c r="B449" s="46">
        <v>-356.91</v>
      </c>
      <c r="C449" s="46">
        <v>86.81</v>
      </c>
      <c r="E449" s="46">
        <v>-268.64999999999998</v>
      </c>
      <c r="F449" s="46">
        <v>86.81</v>
      </c>
    </row>
    <row r="450" spans="2:6">
      <c r="B450" s="46">
        <v>-353.1</v>
      </c>
      <c r="C450" s="46">
        <v>86.31</v>
      </c>
      <c r="E450" s="46">
        <v>-265.36500000000001</v>
      </c>
      <c r="F450" s="46">
        <v>86.31</v>
      </c>
    </row>
    <row r="451" spans="2:6">
      <c r="B451" s="46">
        <v>-349.08</v>
      </c>
      <c r="C451" s="46">
        <v>85.81</v>
      </c>
      <c r="E451" s="46">
        <v>-261.87</v>
      </c>
      <c r="F451" s="46">
        <v>85.81</v>
      </c>
    </row>
    <row r="452" spans="2:6">
      <c r="B452" s="46">
        <v>-344.73</v>
      </c>
      <c r="C452" s="46">
        <v>85.31</v>
      </c>
      <c r="E452" s="46">
        <v>-258.09000000000003</v>
      </c>
      <c r="F452" s="46">
        <v>85.31</v>
      </c>
    </row>
    <row r="453" spans="2:6">
      <c r="B453" s="46">
        <v>-340.74</v>
      </c>
      <c r="C453" s="46">
        <v>84.81</v>
      </c>
      <c r="E453" s="46">
        <v>-254.41499999999999</v>
      </c>
      <c r="F453" s="46">
        <v>84.81</v>
      </c>
    </row>
    <row r="454" spans="2:6">
      <c r="B454" s="46">
        <v>-337.08</v>
      </c>
      <c r="C454" s="46">
        <v>84.31</v>
      </c>
      <c r="E454" s="46">
        <v>-250.66500000000005</v>
      </c>
      <c r="F454" s="46">
        <v>84.31</v>
      </c>
    </row>
    <row r="455" spans="2:6">
      <c r="B455" s="46">
        <v>-332.84</v>
      </c>
      <c r="C455" s="46">
        <v>83.81</v>
      </c>
      <c r="E455" s="46">
        <v>-246.45500000000001</v>
      </c>
      <c r="F455" s="46">
        <v>83.81</v>
      </c>
    </row>
    <row r="456" spans="2:6">
      <c r="B456" s="46">
        <v>-327.77</v>
      </c>
      <c r="C456" s="46">
        <v>83.31</v>
      </c>
      <c r="E456" s="46">
        <v>-242.12000000000003</v>
      </c>
      <c r="F456" s="46">
        <v>83.31</v>
      </c>
    </row>
    <row r="457" spans="2:6">
      <c r="B457" s="46">
        <v>-322.85000000000002</v>
      </c>
      <c r="C457" s="46">
        <v>82.81</v>
      </c>
      <c r="E457" s="46">
        <v>-237.79999999999995</v>
      </c>
      <c r="F457" s="46">
        <v>82.81</v>
      </c>
    </row>
    <row r="458" spans="2:6">
      <c r="B458" s="46">
        <v>-317.64999999999998</v>
      </c>
      <c r="C458" s="46">
        <v>82.31</v>
      </c>
      <c r="E458" s="46">
        <v>-233.69500000000002</v>
      </c>
      <c r="F458" s="46">
        <v>82.31</v>
      </c>
    </row>
    <row r="459" spans="2:6">
      <c r="B459" s="46">
        <v>-312.75</v>
      </c>
      <c r="C459" s="46">
        <v>81.81</v>
      </c>
      <c r="E459" s="46">
        <v>-229.36500000000004</v>
      </c>
      <c r="F459" s="46">
        <v>81.81</v>
      </c>
    </row>
    <row r="460" spans="2:6">
      <c r="B460" s="46">
        <v>-307.58999999999997</v>
      </c>
      <c r="C460" s="46">
        <v>81.31</v>
      </c>
      <c r="E460" s="46">
        <v>-224.97</v>
      </c>
      <c r="F460" s="46">
        <v>81.31</v>
      </c>
    </row>
    <row r="461" spans="2:6">
      <c r="B461" s="46">
        <v>-302.92</v>
      </c>
      <c r="C461" s="46">
        <v>80.81</v>
      </c>
      <c r="E461" s="46">
        <v>-220.57</v>
      </c>
      <c r="F461" s="46">
        <v>80.81</v>
      </c>
    </row>
    <row r="462" spans="2:6">
      <c r="B462" s="46">
        <v>-297.73</v>
      </c>
      <c r="C462" s="46">
        <v>80.31</v>
      </c>
      <c r="E462" s="46">
        <v>-216.11499999999998</v>
      </c>
      <c r="F462" s="46">
        <v>80.31</v>
      </c>
    </row>
    <row r="463" spans="2:6">
      <c r="B463" s="46">
        <v>-291.83999999999997</v>
      </c>
      <c r="C463" s="46">
        <v>79.81</v>
      </c>
      <c r="E463" s="46">
        <v>-211.185</v>
      </c>
      <c r="F463" s="46">
        <v>79.81</v>
      </c>
    </row>
    <row r="464" spans="2:6">
      <c r="B464" s="46">
        <v>-285.61</v>
      </c>
      <c r="C464" s="46">
        <v>79.31</v>
      </c>
      <c r="E464" s="46">
        <v>-205.89999999999998</v>
      </c>
      <c r="F464" s="46">
        <v>79.31</v>
      </c>
    </row>
    <row r="465" spans="2:6">
      <c r="B465" s="46">
        <v>-279.51</v>
      </c>
      <c r="C465" s="46">
        <v>78.81</v>
      </c>
      <c r="E465" s="46">
        <v>-200.655</v>
      </c>
      <c r="F465" s="46">
        <v>78.81</v>
      </c>
    </row>
    <row r="466" spans="2:6">
      <c r="B466" s="46">
        <v>-273.77</v>
      </c>
      <c r="C466" s="46">
        <v>78.31</v>
      </c>
      <c r="E466" s="46">
        <v>-195.86</v>
      </c>
      <c r="F466" s="46">
        <v>78.31</v>
      </c>
    </row>
    <row r="467" spans="2:6">
      <c r="B467" s="46">
        <v>-267.82</v>
      </c>
      <c r="C467" s="46">
        <v>77.81</v>
      </c>
      <c r="E467" s="46">
        <v>-191.14</v>
      </c>
      <c r="F467" s="46">
        <v>77.81</v>
      </c>
    </row>
    <row r="468" spans="2:6">
      <c r="B468" s="46">
        <v>-262.07</v>
      </c>
      <c r="C468" s="46">
        <v>77.31</v>
      </c>
      <c r="E468" s="46">
        <v>-186.29000000000002</v>
      </c>
      <c r="F468" s="46">
        <v>77.31</v>
      </c>
    </row>
    <row r="469" spans="2:6">
      <c r="B469" s="46">
        <v>-256.39</v>
      </c>
      <c r="C469" s="46">
        <v>76.81</v>
      </c>
      <c r="E469" s="46">
        <v>-181.40500000000003</v>
      </c>
      <c r="F469" s="46">
        <v>76.81</v>
      </c>
    </row>
    <row r="470" spans="2:6">
      <c r="B470" s="46">
        <v>-250.07</v>
      </c>
      <c r="C470" s="46">
        <v>76.31</v>
      </c>
      <c r="E470" s="46">
        <v>-176.18</v>
      </c>
      <c r="F470" s="46">
        <v>76.31</v>
      </c>
    </row>
    <row r="471" spans="2:6">
      <c r="B471" s="46">
        <v>-243.6</v>
      </c>
      <c r="C471" s="46">
        <v>75.81</v>
      </c>
      <c r="E471" s="46">
        <v>-171.04499999999999</v>
      </c>
      <c r="F471" s="46">
        <v>75.81</v>
      </c>
    </row>
    <row r="472" spans="2:6">
      <c r="B472" s="46">
        <v>-237.07</v>
      </c>
      <c r="C472" s="46">
        <v>75.31</v>
      </c>
      <c r="E472" s="46">
        <v>-165.625</v>
      </c>
      <c r="F472" s="46">
        <v>75.31</v>
      </c>
    </row>
    <row r="473" spans="2:6">
      <c r="B473" s="46">
        <v>-230.81</v>
      </c>
      <c r="C473" s="46">
        <v>74.81</v>
      </c>
      <c r="E473" s="46">
        <v>-160.32499999999999</v>
      </c>
      <c r="F473" s="46">
        <v>74.81</v>
      </c>
    </row>
    <row r="474" spans="2:6">
      <c r="B474" s="46">
        <v>-223.96</v>
      </c>
      <c r="C474" s="46">
        <v>74.31</v>
      </c>
      <c r="E474" s="46">
        <v>-154.65999999999997</v>
      </c>
      <c r="F474" s="46">
        <v>74.31</v>
      </c>
    </row>
    <row r="475" spans="2:6">
      <c r="B475" s="46">
        <v>-216.78</v>
      </c>
      <c r="C475" s="46">
        <v>73.81</v>
      </c>
      <c r="E475" s="46">
        <v>-149.07</v>
      </c>
      <c r="F475" s="46">
        <v>73.81</v>
      </c>
    </row>
    <row r="476" spans="2:6">
      <c r="B476" s="46">
        <v>-209.5</v>
      </c>
      <c r="C476" s="46">
        <v>73.31</v>
      </c>
      <c r="E476" s="46">
        <v>-143.33499999999998</v>
      </c>
      <c r="F476" s="46">
        <v>73.31</v>
      </c>
    </row>
    <row r="477" spans="2:6">
      <c r="B477" s="46">
        <v>-202.62</v>
      </c>
      <c r="C477" s="46">
        <v>72.81</v>
      </c>
      <c r="E477" s="46">
        <v>-137.80500000000001</v>
      </c>
      <c r="F477" s="46">
        <v>72.81</v>
      </c>
    </row>
    <row r="478" spans="2:6">
      <c r="B478" s="46">
        <v>-195.03</v>
      </c>
      <c r="C478" s="46">
        <v>72.31</v>
      </c>
      <c r="E478" s="46">
        <v>-131.76</v>
      </c>
      <c r="F478" s="46">
        <v>72.31</v>
      </c>
    </row>
    <row r="479" spans="2:6">
      <c r="B479" s="46">
        <v>-187.83</v>
      </c>
      <c r="C479" s="46">
        <v>71.81</v>
      </c>
      <c r="E479" s="46">
        <v>-126.07499999999999</v>
      </c>
      <c r="F479" s="46">
        <v>71.81</v>
      </c>
    </row>
    <row r="480" spans="2:6">
      <c r="B480" s="46">
        <v>-180.7</v>
      </c>
      <c r="C480" s="46">
        <v>71.31</v>
      </c>
      <c r="E480" s="46">
        <v>-120.62500000000001</v>
      </c>
      <c r="F480" s="46">
        <v>71.31</v>
      </c>
    </row>
    <row r="481" spans="2:6">
      <c r="B481" s="46">
        <v>-173.86</v>
      </c>
      <c r="C481" s="46">
        <v>70.81</v>
      </c>
      <c r="E481" s="46">
        <v>-115.36000000000001</v>
      </c>
      <c r="F481" s="46">
        <v>70.81</v>
      </c>
    </row>
    <row r="482" spans="2:6">
      <c r="B482" s="46">
        <v>-167.13</v>
      </c>
      <c r="C482" s="46">
        <v>70.31</v>
      </c>
      <c r="E482" s="46">
        <v>-110.25000000000001</v>
      </c>
      <c r="F482" s="46">
        <v>70.31</v>
      </c>
    </row>
    <row r="483" spans="2:6">
      <c r="B483" s="46">
        <v>-160.15</v>
      </c>
      <c r="C483" s="46">
        <v>69.81</v>
      </c>
      <c r="E483" s="46">
        <v>-105.02500000000001</v>
      </c>
      <c r="F483" s="46">
        <v>69.81</v>
      </c>
    </row>
    <row r="484" spans="2:6">
      <c r="B484" s="46">
        <v>-153.34</v>
      </c>
      <c r="C484" s="46">
        <v>69.31</v>
      </c>
      <c r="E484" s="46">
        <v>-99.82</v>
      </c>
      <c r="F484" s="46">
        <v>69.31</v>
      </c>
    </row>
    <row r="485" spans="2:6">
      <c r="B485" s="46">
        <v>-146.79</v>
      </c>
      <c r="C485" s="46">
        <v>68.81</v>
      </c>
      <c r="E485" s="46">
        <v>-94.66500000000002</v>
      </c>
      <c r="F485" s="46">
        <v>68.81</v>
      </c>
    </row>
    <row r="486" spans="2:6">
      <c r="B486" s="46">
        <v>-139.16999999999999</v>
      </c>
      <c r="C486" s="46">
        <v>68.31</v>
      </c>
      <c r="E486" s="46">
        <v>-89.010000000000019</v>
      </c>
      <c r="F486" s="46">
        <v>68.31</v>
      </c>
    </row>
    <row r="487" spans="2:6">
      <c r="B487" s="46">
        <v>-131.59</v>
      </c>
      <c r="C487" s="46">
        <v>67.81</v>
      </c>
      <c r="E487" s="46">
        <v>-83.38</v>
      </c>
      <c r="F487" s="46">
        <v>67.81</v>
      </c>
    </row>
    <row r="488" spans="2:6">
      <c r="B488" s="46">
        <v>-124.52</v>
      </c>
      <c r="C488" s="46">
        <v>67.31</v>
      </c>
      <c r="E488" s="46">
        <v>-77.764999999999986</v>
      </c>
      <c r="F488" s="46">
        <v>67.31</v>
      </c>
    </row>
    <row r="489" spans="2:6">
      <c r="B489" s="46">
        <v>-116.52</v>
      </c>
      <c r="C489" s="46">
        <v>66.81</v>
      </c>
      <c r="E489" s="46">
        <v>-71.925000000000011</v>
      </c>
      <c r="F489" s="46">
        <v>66.81</v>
      </c>
    </row>
    <row r="490" spans="2:6">
      <c r="B490" s="46">
        <v>-109.23</v>
      </c>
      <c r="C490" s="46">
        <v>66.31</v>
      </c>
      <c r="E490" s="46">
        <v>-66.974999999999994</v>
      </c>
      <c r="F490" s="46">
        <v>66.31</v>
      </c>
    </row>
    <row r="491" spans="2:6">
      <c r="B491" s="46">
        <v>-102.08</v>
      </c>
      <c r="C491" s="46">
        <v>65.81</v>
      </c>
      <c r="E491" s="46">
        <v>-62.12</v>
      </c>
      <c r="F491" s="46">
        <v>65.81</v>
      </c>
    </row>
    <row r="492" spans="2:6">
      <c r="B492" s="46">
        <v>-95.22</v>
      </c>
      <c r="C492" s="46">
        <v>65.31</v>
      </c>
      <c r="E492" s="46">
        <v>-57.464999999999996</v>
      </c>
      <c r="F492" s="46">
        <v>65.31</v>
      </c>
    </row>
    <row r="493" spans="2:6">
      <c r="B493" s="46">
        <v>-88.7</v>
      </c>
      <c r="C493" s="46">
        <v>64.81</v>
      </c>
      <c r="E493" s="46">
        <v>-53.210000000000008</v>
      </c>
      <c r="F493" s="46">
        <v>64.81</v>
      </c>
    </row>
    <row r="494" spans="2:6">
      <c r="B494" s="46">
        <v>-82.83</v>
      </c>
      <c r="C494" s="46">
        <v>64.31</v>
      </c>
      <c r="E494" s="46">
        <v>-48.855000000000004</v>
      </c>
      <c r="F494" s="46">
        <v>64.31</v>
      </c>
    </row>
    <row r="495" spans="2:6">
      <c r="B495" s="46">
        <v>-77.09</v>
      </c>
      <c r="C495" s="46">
        <v>63.81</v>
      </c>
      <c r="E495" s="46">
        <v>-44.989999999999995</v>
      </c>
      <c r="F495" s="46">
        <v>63.81</v>
      </c>
    </row>
    <row r="496" spans="2:6">
      <c r="B496" s="46">
        <v>-71.59</v>
      </c>
      <c r="C496" s="46">
        <v>63.31</v>
      </c>
      <c r="E496" s="46">
        <v>-41.605000000000004</v>
      </c>
      <c r="F496" s="46">
        <v>63.31</v>
      </c>
    </row>
    <row r="497" spans="2:6">
      <c r="B497" s="46">
        <v>-65.77</v>
      </c>
      <c r="C497" s="46">
        <v>62.81</v>
      </c>
      <c r="E497" s="46">
        <v>-37.81</v>
      </c>
      <c r="F497" s="46">
        <v>62.81</v>
      </c>
    </row>
    <row r="498" spans="2:6">
      <c r="B498" s="46">
        <v>-60.29</v>
      </c>
      <c r="C498" s="46">
        <v>62.31</v>
      </c>
      <c r="E498" s="46">
        <v>-34.265000000000001</v>
      </c>
      <c r="F498" s="46">
        <v>62.31</v>
      </c>
    </row>
    <row r="499" spans="2:6">
      <c r="B499" s="46">
        <v>-55.32</v>
      </c>
      <c r="C499" s="46">
        <v>61.81</v>
      </c>
      <c r="E499" s="46">
        <v>-31.035000000000004</v>
      </c>
      <c r="F499" s="46">
        <v>61.81</v>
      </c>
    </row>
    <row r="500" spans="2:6">
      <c r="B500" s="46">
        <v>-50.56</v>
      </c>
      <c r="C500" s="46">
        <v>61.31</v>
      </c>
      <c r="E500" s="46">
        <v>-28.149999999999995</v>
      </c>
      <c r="F500" s="46">
        <v>61.31</v>
      </c>
    </row>
    <row r="501" spans="2:6">
      <c r="B501" s="46">
        <v>-45.88</v>
      </c>
      <c r="C501" s="46">
        <v>60.81</v>
      </c>
      <c r="E501" s="46">
        <v>-25.54</v>
      </c>
      <c r="F501" s="46">
        <v>60.81</v>
      </c>
    </row>
    <row r="502" spans="2:6">
      <c r="B502" s="46">
        <v>-41.46</v>
      </c>
      <c r="C502" s="46">
        <v>60.31</v>
      </c>
      <c r="E502" s="46">
        <v>-23.009999999999998</v>
      </c>
      <c r="F502" s="46">
        <v>60.31</v>
      </c>
    </row>
    <row r="503" spans="2:6">
      <c r="B503" s="46">
        <v>-37.35</v>
      </c>
      <c r="C503" s="46">
        <v>59.81</v>
      </c>
      <c r="E503" s="46">
        <v>-20.7</v>
      </c>
      <c r="F503" s="46">
        <v>59.81</v>
      </c>
    </row>
    <row r="504" spans="2:6">
      <c r="B504" s="46">
        <v>-33.26</v>
      </c>
      <c r="C504" s="46">
        <v>59.31</v>
      </c>
      <c r="E504" s="46">
        <v>-18.574999999999999</v>
      </c>
      <c r="F504" s="46">
        <v>59.31</v>
      </c>
    </row>
    <row r="505" spans="2:6">
      <c r="B505" s="46">
        <v>-29.28</v>
      </c>
      <c r="C505" s="46">
        <v>58.81</v>
      </c>
      <c r="E505" s="46">
        <v>-16.484999999999999</v>
      </c>
      <c r="F505" s="46">
        <v>58.81</v>
      </c>
    </row>
    <row r="506" spans="2:6">
      <c r="B506" s="46">
        <v>-25.39</v>
      </c>
      <c r="C506" s="46">
        <v>58.31</v>
      </c>
      <c r="E506" s="46">
        <v>-14.529999999999998</v>
      </c>
      <c r="F506" s="46">
        <v>58.31</v>
      </c>
    </row>
    <row r="507" spans="2:6">
      <c r="B507" s="46">
        <v>-22.05</v>
      </c>
      <c r="C507" s="46">
        <v>57.81</v>
      </c>
      <c r="E507" s="46">
        <v>-13.185</v>
      </c>
      <c r="F507" s="46">
        <v>57.81</v>
      </c>
    </row>
    <row r="508" spans="2:6">
      <c r="B508" s="46">
        <v>-19.07</v>
      </c>
      <c r="C508" s="46">
        <v>57.31</v>
      </c>
      <c r="E508" s="46">
        <v>-12.05</v>
      </c>
      <c r="F508" s="46">
        <v>57.31</v>
      </c>
    </row>
    <row r="509" spans="2:6">
      <c r="B509" s="46">
        <v>-16.07</v>
      </c>
      <c r="C509" s="46">
        <v>56.81</v>
      </c>
      <c r="E509" s="46">
        <v>-10.744999999999999</v>
      </c>
      <c r="F509" s="46">
        <v>56.81</v>
      </c>
    </row>
    <row r="510" spans="2:6">
      <c r="B510" s="46">
        <v>-13.01</v>
      </c>
      <c r="C510" s="46">
        <v>56.31</v>
      </c>
      <c r="E510" s="46">
        <v>-9.4550000000000018</v>
      </c>
      <c r="F510" s="46">
        <v>56.31</v>
      </c>
    </row>
    <row r="511" spans="2:6">
      <c r="B511" s="46">
        <v>-10.31</v>
      </c>
      <c r="C511" s="46">
        <v>55.81</v>
      </c>
      <c r="E511" s="46">
        <v>-8.4499999999999993</v>
      </c>
      <c r="F511" s="46">
        <v>55.81</v>
      </c>
    </row>
    <row r="512" spans="2:6">
      <c r="B512" s="46">
        <v>-8.1999999999999993</v>
      </c>
      <c r="C512" s="46">
        <v>55.31</v>
      </c>
      <c r="E512" s="46">
        <v>-7.5549999999999997</v>
      </c>
      <c r="F512" s="46">
        <v>55.31</v>
      </c>
    </row>
    <row r="513" spans="2:6">
      <c r="B513" s="46">
        <v>-6.43</v>
      </c>
      <c r="C513" s="46">
        <v>54.81</v>
      </c>
      <c r="E513" s="46">
        <v>-6.8950000000000005</v>
      </c>
      <c r="F513" s="46">
        <v>54.81</v>
      </c>
    </row>
    <row r="514" spans="2:6">
      <c r="B514" s="46">
        <v>-4.68</v>
      </c>
      <c r="C514" s="46">
        <v>54.31</v>
      </c>
      <c r="E514" s="46">
        <v>-6.18</v>
      </c>
      <c r="F514" s="46">
        <v>54.31</v>
      </c>
    </row>
    <row r="515" spans="2:6">
      <c r="B515" s="46">
        <v>-2.93</v>
      </c>
      <c r="C515" s="46">
        <v>53.81</v>
      </c>
      <c r="E515" s="46">
        <v>-5.57</v>
      </c>
      <c r="F515" s="46">
        <v>53.81</v>
      </c>
    </row>
    <row r="516" spans="2:6">
      <c r="B516" s="46">
        <v>-1.49</v>
      </c>
      <c r="C516" s="46">
        <v>53.31</v>
      </c>
      <c r="E516" s="46">
        <v>-5.09</v>
      </c>
      <c r="F516" s="46">
        <v>53.31</v>
      </c>
    </row>
    <row r="517" spans="2:6">
      <c r="B517" s="46">
        <v>-0.13</v>
      </c>
      <c r="C517" s="46">
        <v>52.81</v>
      </c>
      <c r="E517" s="46">
        <v>-4.6150000000000002</v>
      </c>
      <c r="F517" s="46">
        <v>52.81</v>
      </c>
    </row>
    <row r="518" spans="2:6">
      <c r="B518" s="46">
        <v>0.79</v>
      </c>
      <c r="C518" s="46">
        <v>52.31</v>
      </c>
      <c r="E518" s="46">
        <v>-4.1449999999999996</v>
      </c>
      <c r="F518" s="46">
        <v>52.31</v>
      </c>
    </row>
    <row r="519" spans="2:6">
      <c r="B519" s="46">
        <v>1.61</v>
      </c>
      <c r="C519" s="46">
        <v>51.81</v>
      </c>
      <c r="E519" s="46">
        <v>-3.9550000000000001</v>
      </c>
      <c r="F519" s="46">
        <v>51.81</v>
      </c>
    </row>
    <row r="520" spans="2:6">
      <c r="B520" s="46">
        <v>2.38</v>
      </c>
      <c r="C520" s="46">
        <v>51.31</v>
      </c>
      <c r="E520" s="46">
        <v>-3.74</v>
      </c>
      <c r="F520" s="46">
        <v>51.31</v>
      </c>
    </row>
    <row r="521" spans="2:6">
      <c r="B521" s="46">
        <v>4.03</v>
      </c>
      <c r="C521" s="46">
        <v>50.81</v>
      </c>
      <c r="E521" s="46">
        <v>-2.7650000000000001</v>
      </c>
      <c r="F521" s="46">
        <v>50.81</v>
      </c>
    </row>
    <row r="522" spans="2:6">
      <c r="B522" s="46">
        <v>6.51</v>
      </c>
      <c r="C522" s="46">
        <v>50.31</v>
      </c>
      <c r="E522" s="46">
        <v>-1.0199999999999998</v>
      </c>
      <c r="F522" s="46">
        <v>50.31</v>
      </c>
    </row>
    <row r="523" spans="2:6">
      <c r="B523" s="46">
        <v>6.43</v>
      </c>
      <c r="C523" s="46">
        <v>49.81</v>
      </c>
      <c r="E523" s="46">
        <v>-1.0249999999999999</v>
      </c>
      <c r="F523" s="46">
        <v>49.81</v>
      </c>
    </row>
    <row r="524" spans="2:6">
      <c r="B524" s="46">
        <v>3.28</v>
      </c>
      <c r="C524" s="46">
        <v>49.31</v>
      </c>
      <c r="E524" s="46">
        <v>-2.6149999999999998</v>
      </c>
      <c r="F524" s="46">
        <v>49.31</v>
      </c>
    </row>
    <row r="525" spans="2:6">
      <c r="B525" s="46">
        <v>2.29</v>
      </c>
      <c r="C525" s="46">
        <v>48.81</v>
      </c>
      <c r="E525" s="46">
        <v>-2.585</v>
      </c>
      <c r="F525" s="46">
        <v>48.81</v>
      </c>
    </row>
    <row r="526" spans="2:6">
      <c r="B526" s="46">
        <v>2.0499999999999998</v>
      </c>
      <c r="C526" s="46">
        <v>48.31</v>
      </c>
      <c r="E526" s="46">
        <v>-2.165</v>
      </c>
      <c r="F526" s="46">
        <v>48.31</v>
      </c>
    </row>
    <row r="527" spans="2:6">
      <c r="B527" s="46">
        <v>1.99</v>
      </c>
      <c r="C527" s="46">
        <v>47.81</v>
      </c>
      <c r="E527" s="46">
        <v>-1.7</v>
      </c>
      <c r="F527" s="46">
        <v>47.81</v>
      </c>
    </row>
    <row r="528" spans="2:6">
      <c r="B528" s="46">
        <v>1.91</v>
      </c>
      <c r="C528" s="46">
        <v>47.31</v>
      </c>
      <c r="E528" s="46">
        <v>-1.405</v>
      </c>
      <c r="F528" s="46">
        <v>47.31</v>
      </c>
    </row>
    <row r="529" spans="2:6">
      <c r="B529" s="46">
        <v>1.44</v>
      </c>
      <c r="C529" s="46">
        <v>46.81</v>
      </c>
      <c r="E529" s="46">
        <v>-1.395</v>
      </c>
      <c r="F529" s="46">
        <v>46.81</v>
      </c>
    </row>
    <row r="530" spans="2:6">
      <c r="B530" s="46">
        <v>0.96</v>
      </c>
      <c r="C530" s="46">
        <v>46.31</v>
      </c>
      <c r="E530" s="46">
        <v>-1.56</v>
      </c>
      <c r="F530" s="46">
        <v>46.31</v>
      </c>
    </row>
    <row r="531" spans="2:6">
      <c r="B531" s="46">
        <v>0.6</v>
      </c>
      <c r="C531" s="46">
        <v>45.81</v>
      </c>
      <c r="E531" s="46">
        <v>-1.4850000000000001</v>
      </c>
      <c r="F531" s="46">
        <v>45.81</v>
      </c>
    </row>
    <row r="532" spans="2:6">
      <c r="B532" s="46">
        <v>0.38</v>
      </c>
      <c r="C532" s="46">
        <v>45.31</v>
      </c>
      <c r="E532" s="46">
        <v>-1.105</v>
      </c>
      <c r="F532" s="46">
        <v>45.31</v>
      </c>
    </row>
    <row r="533" spans="2:6">
      <c r="B533" s="46">
        <v>0.38</v>
      </c>
      <c r="C533" s="46">
        <v>44.81</v>
      </c>
      <c r="E533" s="46">
        <v>-0.52</v>
      </c>
      <c r="F533" s="46">
        <v>44.81</v>
      </c>
    </row>
    <row r="534" spans="2:6">
      <c r="B534" s="46">
        <v>0.25</v>
      </c>
      <c r="C534" s="46">
        <v>44.31</v>
      </c>
      <c r="E534" s="46">
        <v>-9.5000000000000001E-2</v>
      </c>
      <c r="F534" s="46">
        <v>44.31</v>
      </c>
    </row>
    <row r="535" spans="2:6">
      <c r="B535" s="46">
        <v>0</v>
      </c>
      <c r="C535" s="46">
        <v>43.81</v>
      </c>
      <c r="E535" s="46">
        <v>0</v>
      </c>
      <c r="F535" s="46">
        <v>43.81</v>
      </c>
    </row>
    <row r="547" spans="2:5">
      <c r="B547" s="3"/>
      <c r="D547" s="3"/>
      <c r="E547" s="3"/>
    </row>
    <row r="548" spans="2:5">
      <c r="B548" s="3"/>
      <c r="D548" s="3"/>
      <c r="E548" s="3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Figure 5</vt:lpstr>
      <vt:lpstr>Figure 14</vt:lpstr>
      <vt:lpstr>Figure 16</vt:lpstr>
      <vt:lpstr>Figure 17</vt:lpstr>
      <vt:lpstr>'Figure 17'!Print_Area</vt:lpstr>
      <vt:lpstr>'Figure 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TTW</dc:creator>
  <cp:lastModifiedBy>Giannis</cp:lastModifiedBy>
  <dcterms:created xsi:type="dcterms:W3CDTF">2015-10-27T05:41:04Z</dcterms:created>
  <dcterms:modified xsi:type="dcterms:W3CDTF">2016-09-22T15:32:21Z</dcterms:modified>
</cp:coreProperties>
</file>